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xr:revisionPtr revIDLastSave="0" documentId="13_ncr:1_{27704151-591C-2848-B44A-70764886EA2D}" xr6:coauthVersionLast="47" xr6:coauthVersionMax="47" xr10:uidLastSave="{00000000-0000-0000-0000-000000000000}"/>
  <bookViews>
    <workbookView xWindow="0" yWindow="0" windowWidth="28800" windowHeight="18000" xr2:uid="{00000000-000D-0000-FFFF-FFFF00000000}"/>
  </bookViews>
  <sheets>
    <sheet name="Read_Me" sheetId="1" r:id="rId1"/>
    <sheet name="Source_Register" sheetId="2" r:id="rId2"/>
    <sheet name="Reported_Actuals" sheetId="3" r:id="rId3"/>
    <sheet name="KPI_Definitions" sheetId="4" r:id="rId4"/>
    <sheet name="Assumptions" sheetId="5" r:id="rId5"/>
    <sheet name="Forecast" sheetId="6" r:id="rId6"/>
    <sheet name="Scenarios" sheetId="7" r:id="rId7"/>
    <sheet name="Variance_Analysis" sheetId="8" r:id="rId8"/>
    <sheet name="Dashboard" sheetId="9" r:id="rId9"/>
    <sheet name="Checks" sheetId="10" r:id="rId10"/>
  </sheets>
  <definedNames>
    <definedName name="_xlnm.Print_Area" localSheetId="8">Dashboard!$A$1:$M$69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110" i="10" l="1"/>
  <c r="F110" i="10"/>
  <c r="E110" i="10"/>
  <c r="D110" i="10"/>
  <c r="G107" i="10"/>
  <c r="F107" i="10"/>
  <c r="E107" i="10"/>
  <c r="D107" i="10"/>
  <c r="G106" i="10"/>
  <c r="G108" i="10" s="1"/>
  <c r="F106" i="10"/>
  <c r="F108" i="10" s="1"/>
  <c r="E106" i="10"/>
  <c r="E108" i="10" s="1"/>
  <c r="D106" i="10"/>
  <c r="D108" i="10" s="1"/>
  <c r="G104" i="10"/>
  <c r="F104" i="10"/>
  <c r="E104" i="10"/>
  <c r="D104" i="10"/>
  <c r="G103" i="10"/>
  <c r="G109" i="10" s="1"/>
  <c r="F103" i="10"/>
  <c r="F109" i="10" s="1"/>
  <c r="E103" i="10"/>
  <c r="E109" i="10" s="1"/>
  <c r="D103" i="10"/>
  <c r="D109" i="10" s="1"/>
  <c r="Q97" i="10"/>
  <c r="P97" i="10"/>
  <c r="O97" i="10"/>
  <c r="N97" i="10"/>
  <c r="M97" i="10"/>
  <c r="L97" i="10"/>
  <c r="K97" i="10"/>
  <c r="J97" i="10"/>
  <c r="I97" i="10"/>
  <c r="H97" i="10"/>
  <c r="G97" i="10"/>
  <c r="D18" i="10" s="1"/>
  <c r="F18" i="10" s="1"/>
  <c r="H18" i="10" s="1"/>
  <c r="F97" i="10"/>
  <c r="E97" i="10"/>
  <c r="D97" i="10"/>
  <c r="Q96" i="10"/>
  <c r="P96" i="10"/>
  <c r="O96" i="10"/>
  <c r="N96" i="10"/>
  <c r="M96" i="10"/>
  <c r="L96" i="10"/>
  <c r="K96" i="10"/>
  <c r="J96" i="10"/>
  <c r="I96" i="10"/>
  <c r="H96" i="10"/>
  <c r="G96" i="10"/>
  <c r="F96" i="10"/>
  <c r="E96" i="10"/>
  <c r="D17" i="10" s="1"/>
  <c r="F17" i="10" s="1"/>
  <c r="H17" i="10" s="1"/>
  <c r="D96" i="10"/>
  <c r="Q95" i="10"/>
  <c r="P95" i="10"/>
  <c r="O95" i="10"/>
  <c r="N95" i="10"/>
  <c r="M95" i="10"/>
  <c r="L95" i="10"/>
  <c r="K95" i="10"/>
  <c r="J95" i="10"/>
  <c r="I95" i="10"/>
  <c r="H95" i="10"/>
  <c r="G95" i="10"/>
  <c r="D16" i="10" s="1"/>
  <c r="F16" i="10" s="1"/>
  <c r="H16" i="10" s="1"/>
  <c r="F95" i="10"/>
  <c r="E95" i="10"/>
  <c r="D95" i="10"/>
  <c r="Q94" i="10"/>
  <c r="P94" i="10"/>
  <c r="O94" i="10"/>
  <c r="N94" i="10"/>
  <c r="M94" i="10"/>
  <c r="L94" i="10"/>
  <c r="K94" i="10"/>
  <c r="J94" i="10"/>
  <c r="I94" i="10"/>
  <c r="H94" i="10"/>
  <c r="G94" i="10"/>
  <c r="F94" i="10"/>
  <c r="E94" i="10"/>
  <c r="D94" i="10"/>
  <c r="Q93" i="10"/>
  <c r="P93" i="10"/>
  <c r="O93" i="10"/>
  <c r="N93" i="10"/>
  <c r="M93" i="10"/>
  <c r="L93" i="10"/>
  <c r="K93" i="10"/>
  <c r="J93" i="10"/>
  <c r="I93" i="10"/>
  <c r="H93" i="10"/>
  <c r="G93" i="10"/>
  <c r="D14" i="10" s="1"/>
  <c r="F14" i="10" s="1"/>
  <c r="H14" i="10" s="1"/>
  <c r="F93" i="10"/>
  <c r="E93" i="10"/>
  <c r="D93" i="10"/>
  <c r="Q92" i="10"/>
  <c r="P92" i="10"/>
  <c r="O92" i="10"/>
  <c r="N92" i="10"/>
  <c r="M92" i="10"/>
  <c r="L92" i="10"/>
  <c r="K92" i="10"/>
  <c r="J92" i="10"/>
  <c r="I92" i="10"/>
  <c r="H92" i="10"/>
  <c r="G92" i="10"/>
  <c r="F92" i="10"/>
  <c r="E92" i="10"/>
  <c r="D13" i="10" s="1"/>
  <c r="F13" i="10" s="1"/>
  <c r="H13" i="10" s="1"/>
  <c r="D92" i="10"/>
  <c r="Q91" i="10"/>
  <c r="P91" i="10"/>
  <c r="O91" i="10"/>
  <c r="N91" i="10"/>
  <c r="M91" i="10"/>
  <c r="L91" i="10"/>
  <c r="K91" i="10"/>
  <c r="J91" i="10"/>
  <c r="I91" i="10"/>
  <c r="H91" i="10"/>
  <c r="G91" i="10"/>
  <c r="F91" i="10"/>
  <c r="E91" i="10"/>
  <c r="D91" i="10"/>
  <c r="D50" i="10"/>
  <c r="F50" i="10" s="1"/>
  <c r="H50" i="10" s="1"/>
  <c r="D48" i="10"/>
  <c r="F48" i="10" s="1"/>
  <c r="H48" i="10" s="1"/>
  <c r="E41" i="10"/>
  <c r="E40" i="10"/>
  <c r="E39" i="10"/>
  <c r="E38" i="10"/>
  <c r="F38" i="10" s="1"/>
  <c r="H38" i="10" s="1"/>
  <c r="D38" i="10"/>
  <c r="E37" i="10"/>
  <c r="D37" i="10"/>
  <c r="E36" i="10"/>
  <c r="F36" i="10" s="1"/>
  <c r="H36" i="10" s="1"/>
  <c r="D36" i="10"/>
  <c r="E35" i="10"/>
  <c r="E34" i="10"/>
  <c r="E33" i="10"/>
  <c r="E32" i="10"/>
  <c r="E31" i="10"/>
  <c r="E30" i="10"/>
  <c r="E29" i="10"/>
  <c r="E28" i="10"/>
  <c r="E27" i="10"/>
  <c r="E26" i="10"/>
  <c r="E25" i="10"/>
  <c r="E24" i="10"/>
  <c r="E23" i="10"/>
  <c r="E22" i="10"/>
  <c r="E21" i="10"/>
  <c r="E20" i="10"/>
  <c r="E19" i="10"/>
  <c r="D15" i="10"/>
  <c r="F15" i="10" s="1"/>
  <c r="H15" i="10" s="1"/>
  <c r="D12" i="10"/>
  <c r="F12" i="10" s="1"/>
  <c r="H12" i="10" s="1"/>
  <c r="C112" i="8"/>
  <c r="D112" i="8" s="1"/>
  <c r="C111" i="8"/>
  <c r="E111" i="8" s="1"/>
  <c r="E110" i="8"/>
  <c r="C110" i="8"/>
  <c r="D110" i="8" s="1"/>
  <c r="C108" i="8"/>
  <c r="E108" i="8" s="1"/>
  <c r="D108" i="8" s="1"/>
  <c r="C106" i="8"/>
  <c r="C105" i="8"/>
  <c r="E105" i="8" s="1"/>
  <c r="C104" i="8"/>
  <c r="E104" i="8" s="1"/>
  <c r="D104" i="8" s="1"/>
  <c r="C103" i="8"/>
  <c r="E103" i="8" s="1"/>
  <c r="D97" i="8"/>
  <c r="D96" i="8"/>
  <c r="D95" i="8"/>
  <c r="D94" i="8"/>
  <c r="D93" i="8"/>
  <c r="D91" i="8"/>
  <c r="D83" i="8"/>
  <c r="D81" i="8"/>
  <c r="D79" i="8"/>
  <c r="D78" i="8"/>
  <c r="D77" i="8"/>
  <c r="D75" i="8"/>
  <c r="D73" i="8"/>
  <c r="D72" i="8"/>
  <c r="D71" i="8"/>
  <c r="D70" i="8"/>
  <c r="A56" i="7"/>
  <c r="B52" i="7"/>
  <c r="B51" i="7"/>
  <c r="B50" i="7"/>
  <c r="B49" i="7"/>
  <c r="B48" i="7"/>
  <c r="H47" i="7"/>
  <c r="G47" i="7"/>
  <c r="F47" i="7"/>
  <c r="E47" i="7"/>
  <c r="D47" i="7"/>
  <c r="C47" i="7"/>
  <c r="A46" i="7"/>
  <c r="K17" i="7"/>
  <c r="I17" i="7"/>
  <c r="H17" i="7"/>
  <c r="F17" i="7"/>
  <c r="E17" i="7"/>
  <c r="C17" i="7"/>
  <c r="K16" i="7"/>
  <c r="I16" i="7"/>
  <c r="H16" i="7"/>
  <c r="F16" i="7"/>
  <c r="E16" i="7"/>
  <c r="C16" i="7"/>
  <c r="K11" i="7"/>
  <c r="I11" i="7"/>
  <c r="H11" i="7"/>
  <c r="F11" i="7"/>
  <c r="E11" i="7"/>
  <c r="C11" i="7"/>
  <c r="K10" i="7"/>
  <c r="I10" i="7"/>
  <c r="H10" i="7"/>
  <c r="F10" i="7"/>
  <c r="E10" i="7"/>
  <c r="C10" i="7"/>
  <c r="H53" i="6"/>
  <c r="G53" i="6"/>
  <c r="F53" i="6"/>
  <c r="E53" i="6"/>
  <c r="D53" i="6"/>
  <c r="C53" i="6"/>
  <c r="J53" i="6" s="1"/>
  <c r="F42" i="5" s="1"/>
  <c r="H52" i="6"/>
  <c r="G52" i="6"/>
  <c r="F52" i="6"/>
  <c r="E52" i="6"/>
  <c r="D52" i="6"/>
  <c r="C52" i="6"/>
  <c r="H51" i="6"/>
  <c r="G51" i="6"/>
  <c r="F51" i="6"/>
  <c r="E51" i="6"/>
  <c r="D51" i="6"/>
  <c r="C51" i="6"/>
  <c r="H50" i="6"/>
  <c r="G50" i="6"/>
  <c r="F50" i="6"/>
  <c r="E50" i="6"/>
  <c r="D50" i="6"/>
  <c r="C50" i="6"/>
  <c r="H49" i="6"/>
  <c r="G49" i="6"/>
  <c r="F49" i="6"/>
  <c r="E49" i="6"/>
  <c r="J49" i="6" s="1"/>
  <c r="F35" i="5" s="1"/>
  <c r="D49" i="6"/>
  <c r="C49" i="6"/>
  <c r="H48" i="6"/>
  <c r="G48" i="6"/>
  <c r="F48" i="6"/>
  <c r="E48" i="6"/>
  <c r="D48" i="6"/>
  <c r="C48" i="6"/>
  <c r="H43" i="6"/>
  <c r="F43" i="6"/>
  <c r="E43" i="6"/>
  <c r="D43" i="6"/>
  <c r="C43" i="6"/>
  <c r="H42" i="6"/>
  <c r="M8" i="9" s="1"/>
  <c r="F42" i="6"/>
  <c r="E42" i="6"/>
  <c r="D42" i="6"/>
  <c r="C42" i="6"/>
  <c r="H41" i="6"/>
  <c r="L7" i="9" s="1"/>
  <c r="F41" i="6"/>
  <c r="E41" i="6"/>
  <c r="D41" i="6"/>
  <c r="C41" i="6"/>
  <c r="H40" i="6"/>
  <c r="F40" i="6"/>
  <c r="E40" i="6"/>
  <c r="D40" i="6"/>
  <c r="C40" i="6"/>
  <c r="H39" i="6"/>
  <c r="F39" i="6"/>
  <c r="E39" i="6"/>
  <c r="D39" i="6"/>
  <c r="C39" i="6"/>
  <c r="C28" i="6"/>
  <c r="D44" i="8" s="1"/>
  <c r="H27" i="6"/>
  <c r="G27" i="6"/>
  <c r="F27" i="6"/>
  <c r="F28" i="6" s="1"/>
  <c r="E27" i="6"/>
  <c r="D27" i="6"/>
  <c r="D28" i="6" s="1"/>
  <c r="H26" i="6"/>
  <c r="F26" i="7" s="1"/>
  <c r="G26" i="7" s="1"/>
  <c r="G26" i="6"/>
  <c r="F26" i="6"/>
  <c r="E26" i="6"/>
  <c r="D26" i="6"/>
  <c r="C26" i="6"/>
  <c r="H21" i="6"/>
  <c r="G21" i="6"/>
  <c r="F21" i="6"/>
  <c r="E21" i="6"/>
  <c r="D21" i="6"/>
  <c r="C21" i="6"/>
  <c r="H19" i="6"/>
  <c r="G19" i="6"/>
  <c r="F19" i="6"/>
  <c r="E19" i="6"/>
  <c r="D19" i="6"/>
  <c r="C19" i="6"/>
  <c r="H17" i="6"/>
  <c r="G17" i="7" s="1"/>
  <c r="G17" i="6"/>
  <c r="I16" i="5" s="1"/>
  <c r="F17" i="6"/>
  <c r="E17" i="6"/>
  <c r="C16" i="8" s="1"/>
  <c r="D17" i="6"/>
  <c r="C17" i="6"/>
  <c r="D37" i="8" s="1"/>
  <c r="H16" i="6"/>
  <c r="G16" i="6"/>
  <c r="I15" i="5" s="1"/>
  <c r="F16" i="6"/>
  <c r="E16" i="6"/>
  <c r="D16" i="6"/>
  <c r="C16" i="6"/>
  <c r="H15" i="6"/>
  <c r="G15" i="6"/>
  <c r="F15" i="6"/>
  <c r="E15" i="6"/>
  <c r="E28" i="6" s="1"/>
  <c r="D15" i="6"/>
  <c r="D14" i="8" s="1"/>
  <c r="C15" i="6"/>
  <c r="H13" i="6"/>
  <c r="I13" i="7" s="1"/>
  <c r="G13" i="6"/>
  <c r="F13" i="6"/>
  <c r="E13" i="6"/>
  <c r="D13" i="6"/>
  <c r="C13" i="6"/>
  <c r="H11" i="6"/>
  <c r="D11" i="7" s="1"/>
  <c r="G11" i="6"/>
  <c r="I11" i="5" s="1"/>
  <c r="F11" i="6"/>
  <c r="E11" i="6"/>
  <c r="C10" i="8" s="1"/>
  <c r="D11" i="6"/>
  <c r="C11" i="6"/>
  <c r="D31" i="8" s="1"/>
  <c r="H10" i="6"/>
  <c r="G10" i="6"/>
  <c r="F10" i="6"/>
  <c r="E10" i="6"/>
  <c r="F75" i="10" s="1"/>
  <c r="D10" i="6"/>
  <c r="C10" i="6"/>
  <c r="H9" i="6"/>
  <c r="F9" i="7" s="1"/>
  <c r="G9" i="6"/>
  <c r="F9" i="6"/>
  <c r="E9" i="6"/>
  <c r="D9" i="6"/>
  <c r="E74" i="10" s="1"/>
  <c r="C9" i="6"/>
  <c r="H8" i="6"/>
  <c r="G8" i="6"/>
  <c r="F8" i="6"/>
  <c r="E8" i="6"/>
  <c r="I19" i="5" s="1"/>
  <c r="D8" i="6"/>
  <c r="C8" i="6"/>
  <c r="B5" i="6"/>
  <c r="I29" i="5"/>
  <c r="I18" i="5"/>
  <c r="I10" i="5"/>
  <c r="D4" i="5"/>
  <c r="I13" i="5" l="1"/>
  <c r="J48" i="6"/>
  <c r="F34" i="5" s="1"/>
  <c r="F13" i="7"/>
  <c r="D111" i="8"/>
  <c r="G12" i="6"/>
  <c r="I49" i="6"/>
  <c r="I9" i="5" s="1"/>
  <c r="J52" i="6"/>
  <c r="F38" i="5" s="1"/>
  <c r="C9" i="7"/>
  <c r="C9" i="8"/>
  <c r="J10" i="7"/>
  <c r="G16" i="7"/>
  <c r="I24" i="5"/>
  <c r="G28" i="6"/>
  <c r="I14" i="5" s="1"/>
  <c r="I51" i="6"/>
  <c r="I53" i="6"/>
  <c r="I9" i="7"/>
  <c r="E112" i="8"/>
  <c r="F37" i="10"/>
  <c r="H37" i="10" s="1"/>
  <c r="D24" i="10"/>
  <c r="F24" i="10" s="1"/>
  <c r="H24" i="10" s="1"/>
  <c r="C44" i="8"/>
  <c r="E44" i="8" s="1"/>
  <c r="G44" i="8" s="1"/>
  <c r="D23" i="8"/>
  <c r="G35" i="6"/>
  <c r="G14" i="6"/>
  <c r="G18" i="6" s="1"/>
  <c r="G25" i="6"/>
  <c r="D26" i="10"/>
  <c r="F26" i="10" s="1"/>
  <c r="H26" i="10" s="1"/>
  <c r="D65" i="8"/>
  <c r="D49" i="10"/>
  <c r="F49" i="10" s="1"/>
  <c r="H49" i="10" s="1"/>
  <c r="D73" i="10"/>
  <c r="D28" i="8"/>
  <c r="G74" i="10"/>
  <c r="F71" i="8"/>
  <c r="D50" i="8"/>
  <c r="G77" i="10"/>
  <c r="F75" i="8"/>
  <c r="D54" i="8"/>
  <c r="H79" i="10"/>
  <c r="C77" i="8"/>
  <c r="E77" i="8" s="1"/>
  <c r="C91" i="8"/>
  <c r="E91" i="8" s="1"/>
  <c r="F110" i="8"/>
  <c r="G110" i="8" s="1"/>
  <c r="I110" i="8" s="1"/>
  <c r="C56" i="8"/>
  <c r="D80" i="10"/>
  <c r="D36" i="8"/>
  <c r="D58" i="8"/>
  <c r="F79" i="8"/>
  <c r="E82" i="10"/>
  <c r="C39" i="8"/>
  <c r="H82" i="10"/>
  <c r="F114" i="8"/>
  <c r="C81" i="8"/>
  <c r="E81" i="8" s="1"/>
  <c r="C60" i="8"/>
  <c r="G84" i="10"/>
  <c r="F83" i="8"/>
  <c r="D62" i="8"/>
  <c r="H33" i="6"/>
  <c r="E97" i="9" s="1"/>
  <c r="I50" i="6"/>
  <c r="C8" i="7"/>
  <c r="J9" i="7"/>
  <c r="G13" i="7"/>
  <c r="J16" i="7"/>
  <c r="C29" i="8"/>
  <c r="H9" i="5"/>
  <c r="I9" i="6" s="1"/>
  <c r="J9" i="6" s="1"/>
  <c r="H11" i="5"/>
  <c r="I11" i="6" s="1"/>
  <c r="J11" i="6" s="1"/>
  <c r="I22" i="5" s="1"/>
  <c r="H13" i="5"/>
  <c r="H15" i="5"/>
  <c r="I16" i="6" s="1"/>
  <c r="J16" i="6" s="1"/>
  <c r="I26" i="5" s="1"/>
  <c r="H17" i="5"/>
  <c r="H19" i="5"/>
  <c r="H21" i="5"/>
  <c r="K10" i="6" s="1"/>
  <c r="H23" i="5"/>
  <c r="H25" i="5"/>
  <c r="H27" i="5"/>
  <c r="K17" i="6" s="1"/>
  <c r="H29" i="5"/>
  <c r="G73" i="10"/>
  <c r="F70" i="8"/>
  <c r="D49" i="8"/>
  <c r="F74" i="10"/>
  <c r="C8" i="8"/>
  <c r="H75" i="10"/>
  <c r="F105" i="8"/>
  <c r="G105" i="8" s="1"/>
  <c r="I105" i="8" s="1"/>
  <c r="C51" i="8"/>
  <c r="C72" i="8"/>
  <c r="E72" i="8" s="1"/>
  <c r="G10" i="7"/>
  <c r="F12" i="6"/>
  <c r="G80" i="10"/>
  <c r="F78" i="8"/>
  <c r="D57" i="8"/>
  <c r="D25" i="10"/>
  <c r="F25" i="10" s="1"/>
  <c r="H25" i="10" s="1"/>
  <c r="C23" i="8"/>
  <c r="E23" i="8" s="1"/>
  <c r="G23" i="8" s="1"/>
  <c r="C31" i="8"/>
  <c r="E31" i="8" s="1"/>
  <c r="G31" i="8" s="1"/>
  <c r="D10" i="8"/>
  <c r="C12" i="6"/>
  <c r="H10" i="5"/>
  <c r="I10" i="6" s="1"/>
  <c r="J10" i="6" s="1"/>
  <c r="I21" i="5" s="1"/>
  <c r="H16" i="5"/>
  <c r="I17" i="6" s="1"/>
  <c r="J17" i="6" s="1"/>
  <c r="I27" i="5" s="1"/>
  <c r="H20" i="5"/>
  <c r="H26" i="5"/>
  <c r="K16" i="6" s="1"/>
  <c r="D74" i="10"/>
  <c r="D29" i="8"/>
  <c r="G75" i="10"/>
  <c r="F72" i="8"/>
  <c r="D51" i="8"/>
  <c r="E80" i="10"/>
  <c r="D15" i="8"/>
  <c r="C36" i="8"/>
  <c r="E36" i="8" s="1"/>
  <c r="G36" i="8" s="1"/>
  <c r="I26" i="7"/>
  <c r="J26" i="7" s="1"/>
  <c r="F27" i="7"/>
  <c r="C26" i="7"/>
  <c r="D26" i="7" s="1"/>
  <c r="J51" i="6"/>
  <c r="F37" i="5" s="1"/>
  <c r="D8" i="7"/>
  <c r="C13" i="7"/>
  <c r="E75" i="10"/>
  <c r="C30" i="8"/>
  <c r="D9" i="8"/>
  <c r="F31" i="8"/>
  <c r="F77" i="10"/>
  <c r="E84" i="9"/>
  <c r="C96" i="8"/>
  <c r="E96" i="8" s="1"/>
  <c r="C12" i="8"/>
  <c r="D79" i="10"/>
  <c r="D35" i="8"/>
  <c r="D82" i="10"/>
  <c r="D39" i="8"/>
  <c r="F84" i="10"/>
  <c r="C20" i="8"/>
  <c r="E33" i="6"/>
  <c r="D97" i="9" s="1"/>
  <c r="D10" i="7"/>
  <c r="H26" i="7"/>
  <c r="H27" i="7" s="1"/>
  <c r="E9" i="8"/>
  <c r="G9" i="8" s="1"/>
  <c r="I23" i="5"/>
  <c r="I25" i="5"/>
  <c r="C73" i="8"/>
  <c r="E73" i="8" s="1"/>
  <c r="C52" i="8"/>
  <c r="F106" i="8"/>
  <c r="J11" i="7"/>
  <c r="E79" i="10"/>
  <c r="C35" i="8"/>
  <c r="H8" i="5"/>
  <c r="H12" i="5"/>
  <c r="I13" i="6" s="1"/>
  <c r="J13" i="6" s="1"/>
  <c r="H14" i="5"/>
  <c r="H18" i="5"/>
  <c r="H22" i="5"/>
  <c r="K11" i="6" s="1"/>
  <c r="H24" i="5"/>
  <c r="H28" i="5"/>
  <c r="E73" i="10"/>
  <c r="C28" i="8"/>
  <c r="E28" i="8" s="1"/>
  <c r="G28" i="8" s="1"/>
  <c r="D7" i="8"/>
  <c r="H73" i="10"/>
  <c r="F103" i="8"/>
  <c r="G103" i="8" s="1"/>
  <c r="I103" i="8" s="1"/>
  <c r="C49" i="8"/>
  <c r="C70" i="8"/>
  <c r="E70" i="8" s="1"/>
  <c r="G70" i="8" s="1"/>
  <c r="I70" i="8" s="1"/>
  <c r="I8" i="7"/>
  <c r="I12" i="7" s="1"/>
  <c r="E10" i="8"/>
  <c r="G10" i="8" s="1"/>
  <c r="D12" i="6"/>
  <c r="H12" i="6"/>
  <c r="D77" i="10"/>
  <c r="C84" i="9"/>
  <c r="D33" i="8"/>
  <c r="F79" i="10"/>
  <c r="C14" i="8"/>
  <c r="E14" i="8" s="1"/>
  <c r="G14" i="8" s="1"/>
  <c r="H80" i="10"/>
  <c r="F111" i="8"/>
  <c r="C57" i="8"/>
  <c r="E57" i="8" s="1"/>
  <c r="G57" i="8" s="1"/>
  <c r="C94" i="8"/>
  <c r="E94" i="8" s="1"/>
  <c r="C78" i="8"/>
  <c r="E78" i="8" s="1"/>
  <c r="G78" i="8" s="1"/>
  <c r="I78" i="8" s="1"/>
  <c r="F82" i="10"/>
  <c r="C18" i="8"/>
  <c r="D84" i="10"/>
  <c r="D41" i="8"/>
  <c r="D92" i="8"/>
  <c r="G27" i="7"/>
  <c r="I20" i="5"/>
  <c r="F73" i="10"/>
  <c r="C7" i="8"/>
  <c r="I8" i="6"/>
  <c r="H74" i="10"/>
  <c r="F104" i="8"/>
  <c r="G104" i="8" s="1"/>
  <c r="I104" i="8" s="1"/>
  <c r="C71" i="8"/>
  <c r="E71" i="8" s="1"/>
  <c r="G71" i="8" s="1"/>
  <c r="I71" i="8" s="1"/>
  <c r="C50" i="8"/>
  <c r="E50" i="8" s="1"/>
  <c r="G50" i="8" s="1"/>
  <c r="D9" i="7"/>
  <c r="D75" i="10"/>
  <c r="D30" i="8"/>
  <c r="D52" i="8"/>
  <c r="F73" i="8"/>
  <c r="E12" i="6"/>
  <c r="E77" i="10"/>
  <c r="D84" i="9"/>
  <c r="D12" i="8"/>
  <c r="C33" i="8"/>
  <c r="E33" i="8" s="1"/>
  <c r="G33" i="8" s="1"/>
  <c r="H77" i="10"/>
  <c r="F108" i="8"/>
  <c r="G108" i="8" s="1"/>
  <c r="I108" i="8" s="1"/>
  <c r="C93" i="8"/>
  <c r="E93" i="8" s="1"/>
  <c r="C75" i="8"/>
  <c r="E75" i="8" s="1"/>
  <c r="C54" i="8"/>
  <c r="E54" i="8" s="1"/>
  <c r="G54" i="8" s="1"/>
  <c r="D13" i="7"/>
  <c r="G79" i="10"/>
  <c r="D56" i="8"/>
  <c r="F77" i="8"/>
  <c r="F80" i="10"/>
  <c r="C95" i="8"/>
  <c r="E95" i="8" s="1"/>
  <c r="C15" i="8"/>
  <c r="E15" i="8" s="1"/>
  <c r="G15" i="8" s="1"/>
  <c r="D16" i="8"/>
  <c r="E16" i="8" s="1"/>
  <c r="G16" i="8" s="1"/>
  <c r="C37" i="8"/>
  <c r="E37" i="8" s="1"/>
  <c r="G37" i="8" s="1"/>
  <c r="C79" i="8"/>
  <c r="E79" i="8" s="1"/>
  <c r="G79" i="8" s="1"/>
  <c r="I79" i="8" s="1"/>
  <c r="F112" i="8"/>
  <c r="G112" i="8" s="1"/>
  <c r="I112" i="8" s="1"/>
  <c r="C58" i="8"/>
  <c r="E58" i="8" s="1"/>
  <c r="G58" i="8" s="1"/>
  <c r="D17" i="7"/>
  <c r="J17" i="7"/>
  <c r="G82" i="10"/>
  <c r="D60" i="8"/>
  <c r="F81" i="8"/>
  <c r="E84" i="10"/>
  <c r="D20" i="8"/>
  <c r="C41" i="8"/>
  <c r="E41" i="8" s="1"/>
  <c r="G41" i="8" s="1"/>
  <c r="F116" i="8"/>
  <c r="H84" i="10"/>
  <c r="C83" i="8"/>
  <c r="E83" i="8" s="1"/>
  <c r="G83" i="8" s="1"/>
  <c r="I83" i="8" s="1"/>
  <c r="C62" i="8"/>
  <c r="E62" i="8" s="1"/>
  <c r="G62" i="8" s="1"/>
  <c r="I26" i="6"/>
  <c r="J26" i="6" s="1"/>
  <c r="H28" i="6"/>
  <c r="D33" i="6"/>
  <c r="C97" i="9" s="1"/>
  <c r="J33" i="6"/>
  <c r="I48" i="6"/>
  <c r="I8" i="5" s="1"/>
  <c r="J50" i="6"/>
  <c r="F36" i="5" s="1"/>
  <c r="I52" i="6"/>
  <c r="I12" i="5" s="1"/>
  <c r="F8" i="7"/>
  <c r="G9" i="7"/>
  <c r="G11" i="7"/>
  <c r="J13" i="7"/>
  <c r="D16" i="7"/>
  <c r="I27" i="7"/>
  <c r="D8" i="8"/>
  <c r="D18" i="8"/>
  <c r="H108" i="8"/>
  <c r="E106" i="8"/>
  <c r="E107" i="8" s="1"/>
  <c r="H110" i="8"/>
  <c r="H103" i="8"/>
  <c r="H105" i="8"/>
  <c r="D105" i="8"/>
  <c r="D74" i="8"/>
  <c r="D103" i="8"/>
  <c r="H104" i="8"/>
  <c r="C107" i="8"/>
  <c r="D111" i="10"/>
  <c r="D32" i="10"/>
  <c r="F32" i="10" s="1"/>
  <c r="H32" i="10" s="1"/>
  <c r="E111" i="10"/>
  <c r="D33" i="10"/>
  <c r="F33" i="10" s="1"/>
  <c r="H33" i="10" s="1"/>
  <c r="H112" i="8"/>
  <c r="F111" i="10"/>
  <c r="D34" i="10"/>
  <c r="F34" i="10" s="1"/>
  <c r="H34" i="10" s="1"/>
  <c r="G111" i="10"/>
  <c r="D35" i="10"/>
  <c r="F35" i="10" s="1"/>
  <c r="H35" i="10" s="1"/>
  <c r="E49" i="8" l="1"/>
  <c r="G49" i="8" s="1"/>
  <c r="I27" i="6"/>
  <c r="E35" i="8"/>
  <c r="G35" i="8" s="1"/>
  <c r="E52" i="8"/>
  <c r="G52" i="8" s="1"/>
  <c r="D51" i="10"/>
  <c r="F51" i="10" s="1"/>
  <c r="H51" i="10" s="1"/>
  <c r="E118" i="8"/>
  <c r="E109" i="8"/>
  <c r="I15" i="7"/>
  <c r="J15" i="7" s="1"/>
  <c r="H9" i="7"/>
  <c r="D68" i="7"/>
  <c r="F97" i="9"/>
  <c r="G75" i="8"/>
  <c r="I75" i="8" s="1"/>
  <c r="F76" i="10"/>
  <c r="E83" i="9"/>
  <c r="C11" i="8"/>
  <c r="E25" i="6"/>
  <c r="E35" i="6"/>
  <c r="E14" i="6"/>
  <c r="E7" i="8"/>
  <c r="G7" i="8" s="1"/>
  <c r="E12" i="8"/>
  <c r="G12" i="8" s="1"/>
  <c r="K27" i="7"/>
  <c r="K26" i="7"/>
  <c r="H78" i="8"/>
  <c r="G72" i="8"/>
  <c r="I72" i="8" s="1"/>
  <c r="E8" i="8"/>
  <c r="G8" i="8" s="1"/>
  <c r="E29" i="8"/>
  <c r="G29" i="8" s="1"/>
  <c r="E68" i="7"/>
  <c r="K9" i="7"/>
  <c r="F62" i="8"/>
  <c r="F58" i="8"/>
  <c r="E56" i="8"/>
  <c r="G56" i="8" s="1"/>
  <c r="F50" i="8"/>
  <c r="J8" i="7"/>
  <c r="D85" i="8"/>
  <c r="D76" i="8"/>
  <c r="D80" i="8" s="1"/>
  <c r="G8" i="7"/>
  <c r="F12" i="7"/>
  <c r="K26" i="6"/>
  <c r="K27" i="6" s="1"/>
  <c r="E98" i="8"/>
  <c r="E18" i="8"/>
  <c r="G18" i="8" s="1"/>
  <c r="I25" i="7"/>
  <c r="I14" i="7"/>
  <c r="I18" i="7" s="1"/>
  <c r="I15" i="6"/>
  <c r="J15" i="6" s="1"/>
  <c r="G73" i="8"/>
  <c r="I73" i="8" s="1"/>
  <c r="E20" i="8"/>
  <c r="G20" i="8" s="1"/>
  <c r="F9" i="8"/>
  <c r="E26" i="7"/>
  <c r="E27" i="7" s="1"/>
  <c r="E51" i="8"/>
  <c r="G51" i="8" s="1"/>
  <c r="C12" i="7"/>
  <c r="H83" i="8"/>
  <c r="E60" i="8"/>
  <c r="G60" i="8" s="1"/>
  <c r="E39" i="8"/>
  <c r="G39" i="8" s="1"/>
  <c r="F36" i="8"/>
  <c r="F54" i="8"/>
  <c r="H71" i="8"/>
  <c r="D41" i="10" s="1"/>
  <c r="F41" i="10" s="1"/>
  <c r="H41" i="10" s="1"/>
  <c r="G30" i="6"/>
  <c r="G20" i="6"/>
  <c r="J27" i="6"/>
  <c r="J28" i="6" s="1"/>
  <c r="H73" i="8"/>
  <c r="C68" i="7"/>
  <c r="E9" i="7"/>
  <c r="H76" i="10"/>
  <c r="F107" i="8"/>
  <c r="C74" i="8"/>
  <c r="C53" i="8"/>
  <c r="H35" i="6"/>
  <c r="H14" i="6"/>
  <c r="H25" i="6"/>
  <c r="F7" i="8"/>
  <c r="F84" i="9"/>
  <c r="K13" i="6"/>
  <c r="H15" i="7"/>
  <c r="D40" i="7" s="1"/>
  <c r="F35" i="8"/>
  <c r="E30" i="8"/>
  <c r="G30" i="8" s="1"/>
  <c r="F15" i="7"/>
  <c r="G15" i="7" s="1"/>
  <c r="D71" i="7" s="1"/>
  <c r="F15" i="8"/>
  <c r="H72" i="8"/>
  <c r="D76" i="10"/>
  <c r="C83" i="9"/>
  <c r="D32" i="8"/>
  <c r="C35" i="6"/>
  <c r="C14" i="6"/>
  <c r="C25" i="6"/>
  <c r="D32" i="6"/>
  <c r="G76" i="10"/>
  <c r="F74" i="8"/>
  <c r="D53" i="8"/>
  <c r="H32" i="6"/>
  <c r="F25" i="6"/>
  <c r="F35" i="6"/>
  <c r="F14" i="6"/>
  <c r="F49" i="8"/>
  <c r="G81" i="8"/>
  <c r="I81" i="8" s="1"/>
  <c r="H75" i="8"/>
  <c r="I33" i="6"/>
  <c r="C118" i="8"/>
  <c r="C109" i="8"/>
  <c r="D107" i="8"/>
  <c r="E69" i="7"/>
  <c r="K13" i="7"/>
  <c r="F16" i="8"/>
  <c r="C69" i="7"/>
  <c r="E13" i="7"/>
  <c r="D106" i="8"/>
  <c r="F8" i="8"/>
  <c r="D27" i="10"/>
  <c r="F27" i="10" s="1"/>
  <c r="H27" i="10" s="1"/>
  <c r="F7" i="9"/>
  <c r="C65" i="8"/>
  <c r="E65" i="8" s="1"/>
  <c r="G65" i="8" s="1"/>
  <c r="C92" i="8"/>
  <c r="E92" i="8" s="1"/>
  <c r="G8" i="9" s="1"/>
  <c r="F52" i="8"/>
  <c r="I12" i="6"/>
  <c r="J8" i="6"/>
  <c r="J27" i="7"/>
  <c r="J28" i="7" s="1"/>
  <c r="F41" i="8"/>
  <c r="F37" i="8"/>
  <c r="G111" i="8"/>
  <c r="I111" i="8" s="1"/>
  <c r="H111" i="8"/>
  <c r="F33" i="8"/>
  <c r="E76" i="10"/>
  <c r="D83" i="9"/>
  <c r="C32" i="8"/>
  <c r="E32" i="8" s="1"/>
  <c r="G32" i="8" s="1"/>
  <c r="D11" i="8"/>
  <c r="E32" i="6"/>
  <c r="D35" i="6"/>
  <c r="D14" i="6"/>
  <c r="D25" i="6"/>
  <c r="G106" i="8"/>
  <c r="I106" i="8" s="1"/>
  <c r="E8" i="7"/>
  <c r="D12" i="7"/>
  <c r="C67" i="7"/>
  <c r="C27" i="7"/>
  <c r="F10" i="8"/>
  <c r="F57" i="8"/>
  <c r="H70" i="8"/>
  <c r="D40" i="10" s="1"/>
  <c r="F40" i="10" s="1"/>
  <c r="H40" i="10" s="1"/>
  <c r="K9" i="6"/>
  <c r="D69" i="7"/>
  <c r="H13" i="7"/>
  <c r="H79" i="8"/>
  <c r="G77" i="8"/>
  <c r="I77" i="8" s="1"/>
  <c r="F28" i="8"/>
  <c r="F14" i="8"/>
  <c r="H77" i="8" l="1"/>
  <c r="F20" i="8"/>
  <c r="E53" i="8"/>
  <c r="G53" i="8" s="1"/>
  <c r="E15" i="7"/>
  <c r="C40" i="7" s="1"/>
  <c r="C60" i="7"/>
  <c r="K15" i="6"/>
  <c r="K28" i="6" s="1"/>
  <c r="D25" i="7"/>
  <c r="D14" i="7"/>
  <c r="C113" i="8"/>
  <c r="D109" i="8"/>
  <c r="F85" i="8"/>
  <c r="D78" i="10"/>
  <c r="D34" i="8"/>
  <c r="C18" i="6"/>
  <c r="E12" i="7"/>
  <c r="E78" i="10"/>
  <c r="C34" i="8"/>
  <c r="E34" i="8" s="1"/>
  <c r="G34" i="8" s="1"/>
  <c r="D13" i="8"/>
  <c r="D18" i="6"/>
  <c r="E8" i="9"/>
  <c r="D22" i="10"/>
  <c r="F22" i="10" s="1"/>
  <c r="H22" i="10" s="1"/>
  <c r="D64" i="8"/>
  <c r="G84" i="9"/>
  <c r="C59" i="7"/>
  <c r="C85" i="8"/>
  <c r="E74" i="8"/>
  <c r="I28" i="6"/>
  <c r="H81" i="8"/>
  <c r="D67" i="7"/>
  <c r="G12" i="7"/>
  <c r="H8" i="7"/>
  <c r="H12" i="7" s="1"/>
  <c r="D21" i="10"/>
  <c r="F21" i="10" s="1"/>
  <c r="H21" i="10" s="1"/>
  <c r="E86" i="9"/>
  <c r="C22" i="8"/>
  <c r="C15" i="7"/>
  <c r="D15" i="7" s="1"/>
  <c r="C71" i="7" s="1"/>
  <c r="D27" i="7"/>
  <c r="F39" i="8"/>
  <c r="K8" i="6"/>
  <c r="J12" i="6"/>
  <c r="F18" i="8"/>
  <c r="E96" i="9"/>
  <c r="H34" i="6"/>
  <c r="C96" i="9"/>
  <c r="D34" i="6"/>
  <c r="F32" i="8"/>
  <c r="K33" i="6"/>
  <c r="H78" i="10"/>
  <c r="E101" i="9"/>
  <c r="F109" i="8"/>
  <c r="G109" i="8" s="1"/>
  <c r="I109" i="8" s="1"/>
  <c r="C76" i="8"/>
  <c r="E76" i="8" s="1"/>
  <c r="C55" i="8"/>
  <c r="E55" i="8" s="1"/>
  <c r="G55" i="8" s="1"/>
  <c r="H18" i="6"/>
  <c r="F118" i="8"/>
  <c r="G118" i="8" s="1"/>
  <c r="I118" i="8" s="1"/>
  <c r="G107" i="8"/>
  <c r="H106" i="8"/>
  <c r="F51" i="8"/>
  <c r="D39" i="10"/>
  <c r="F39" i="10" s="1"/>
  <c r="H39" i="10" s="1"/>
  <c r="D82" i="8"/>
  <c r="D84" i="8" s="1"/>
  <c r="G28" i="7"/>
  <c r="F78" i="10"/>
  <c r="C13" i="8"/>
  <c r="E18" i="6"/>
  <c r="E11" i="8"/>
  <c r="G11" i="8" s="1"/>
  <c r="E71" i="7"/>
  <c r="D20" i="10"/>
  <c r="F20" i="10" s="1"/>
  <c r="H20" i="10" s="1"/>
  <c r="D86" i="9"/>
  <c r="C43" i="8"/>
  <c r="D22" i="8"/>
  <c r="D23" i="10"/>
  <c r="F23" i="10" s="1"/>
  <c r="H23" i="10" s="1"/>
  <c r="D7" i="9"/>
  <c r="C98" i="8"/>
  <c r="D98" i="8" s="1"/>
  <c r="C64" i="8"/>
  <c r="E64" i="8" s="1"/>
  <c r="G64" i="8" s="1"/>
  <c r="F29" i="8"/>
  <c r="F30" i="8"/>
  <c r="D96" i="9"/>
  <c r="E34" i="6"/>
  <c r="I25" i="6"/>
  <c r="I14" i="6"/>
  <c r="I18" i="6" s="1"/>
  <c r="I35" i="6"/>
  <c r="I32" i="6"/>
  <c r="I34" i="6" s="1"/>
  <c r="F60" i="8"/>
  <c r="G78" i="10"/>
  <c r="C101" i="9"/>
  <c r="F76" i="8"/>
  <c r="D55" i="8"/>
  <c r="F18" i="6"/>
  <c r="F53" i="8"/>
  <c r="C86" i="9"/>
  <c r="D19" i="10"/>
  <c r="F19" i="10" s="1"/>
  <c r="H19" i="10" s="1"/>
  <c r="D43" i="8"/>
  <c r="F28" i="7"/>
  <c r="H28" i="7"/>
  <c r="D43" i="7" s="1"/>
  <c r="G22" i="6"/>
  <c r="G31" i="6"/>
  <c r="C14" i="7"/>
  <c r="C18" i="7" s="1"/>
  <c r="C25" i="7"/>
  <c r="I19" i="7"/>
  <c r="J19" i="7" s="1"/>
  <c r="F12" i="8"/>
  <c r="K28" i="7"/>
  <c r="E43" i="7" s="1"/>
  <c r="K15" i="7"/>
  <c r="E40" i="7" s="1"/>
  <c r="F56" i="8"/>
  <c r="I28" i="7"/>
  <c r="F25" i="7"/>
  <c r="F14" i="7"/>
  <c r="F18" i="7" s="1"/>
  <c r="E67" i="7"/>
  <c r="K8" i="7"/>
  <c r="K12" i="7" s="1"/>
  <c r="J12" i="7"/>
  <c r="D101" i="9"/>
  <c r="E113" i="8"/>
  <c r="H109" i="8"/>
  <c r="D47" i="10" l="1"/>
  <c r="F47" i="10" s="1"/>
  <c r="H47" i="10" s="1"/>
  <c r="J25" i="7"/>
  <c r="J14" i="7"/>
  <c r="I30" i="7"/>
  <c r="E43" i="8"/>
  <c r="G43" i="8" s="1"/>
  <c r="F83" i="9"/>
  <c r="J25" i="6"/>
  <c r="F86" i="9" s="1"/>
  <c r="J35" i="6"/>
  <c r="J14" i="6"/>
  <c r="J18" i="6" s="1"/>
  <c r="J32" i="6"/>
  <c r="J34" i="6" s="1"/>
  <c r="D28" i="7"/>
  <c r="F34" i="8"/>
  <c r="C70" i="7"/>
  <c r="C41" i="7"/>
  <c r="H40" i="7"/>
  <c r="G40" i="7"/>
  <c r="F40" i="7"/>
  <c r="H81" i="10"/>
  <c r="C80" i="8"/>
  <c r="E80" i="8" s="1"/>
  <c r="F113" i="8"/>
  <c r="G113" i="8" s="1"/>
  <c r="I113" i="8" s="1"/>
  <c r="C59" i="8"/>
  <c r="H30" i="6"/>
  <c r="H20" i="6"/>
  <c r="G14" i="7"/>
  <c r="G25" i="7"/>
  <c r="D81" i="10"/>
  <c r="D38" i="8"/>
  <c r="C30" i="6"/>
  <c r="D28" i="10" s="1"/>
  <c r="F28" i="10" s="1"/>
  <c r="H28" i="10" s="1"/>
  <c r="C20" i="6"/>
  <c r="C38" i="7"/>
  <c r="D18" i="7"/>
  <c r="K14" i="7"/>
  <c r="K25" i="7"/>
  <c r="E42" i="7" s="1"/>
  <c r="E28" i="7"/>
  <c r="C43" i="7" s="1"/>
  <c r="F19" i="7"/>
  <c r="G19" i="7" s="1"/>
  <c r="C19" i="7"/>
  <c r="D19" i="7" s="1"/>
  <c r="H76" i="8"/>
  <c r="E22" i="8"/>
  <c r="G22" i="8" s="1"/>
  <c r="F96" i="9"/>
  <c r="E85" i="8"/>
  <c r="G85" i="8" s="1"/>
  <c r="I85" i="8" s="1"/>
  <c r="G74" i="8"/>
  <c r="I74" i="8" s="1"/>
  <c r="I20" i="7"/>
  <c r="G81" i="10"/>
  <c r="F80" i="8"/>
  <c r="D59" i="8"/>
  <c r="F30" i="6"/>
  <c r="F20" i="6"/>
  <c r="I19" i="6"/>
  <c r="J19" i="6" s="1"/>
  <c r="F81" i="10"/>
  <c r="C17" i="8"/>
  <c r="E20" i="6"/>
  <c r="E30" i="6"/>
  <c r="D30" i="10" s="1"/>
  <c r="F30" i="10" s="1"/>
  <c r="H30" i="10" s="1"/>
  <c r="I107" i="8"/>
  <c r="H107" i="8"/>
  <c r="G76" i="8"/>
  <c r="I76" i="8" s="1"/>
  <c r="K12" i="6"/>
  <c r="C61" i="7"/>
  <c r="C114" i="8"/>
  <c r="D113" i="8"/>
  <c r="E114" i="8"/>
  <c r="F55" i="8"/>
  <c r="E13" i="8"/>
  <c r="G13" i="8" s="1"/>
  <c r="C28" i="7"/>
  <c r="H25" i="7"/>
  <c r="D42" i="7" s="1"/>
  <c r="H14" i="7"/>
  <c r="E81" i="10"/>
  <c r="C38" i="8"/>
  <c r="D17" i="8"/>
  <c r="D20" i="6"/>
  <c r="D30" i="6"/>
  <c r="D29" i="10" s="1"/>
  <c r="F29" i="10" s="1"/>
  <c r="H29" i="10" s="1"/>
  <c r="E25" i="7"/>
  <c r="C42" i="7" s="1"/>
  <c r="E14" i="7"/>
  <c r="F11" i="8"/>
  <c r="F30" i="7" l="1"/>
  <c r="E38" i="8"/>
  <c r="G38" i="8" s="1"/>
  <c r="H113" i="8"/>
  <c r="F20" i="7"/>
  <c r="C30" i="7"/>
  <c r="D83" i="10"/>
  <c r="D40" i="8"/>
  <c r="C22" i="6"/>
  <c r="C31" i="6"/>
  <c r="D70" i="7"/>
  <c r="D41" i="7"/>
  <c r="E59" i="8"/>
  <c r="G59" i="8" s="1"/>
  <c r="J30" i="6"/>
  <c r="J20" i="6"/>
  <c r="E70" i="7"/>
  <c r="E41" i="7"/>
  <c r="D114" i="8"/>
  <c r="G83" i="9"/>
  <c r="G52" i="7"/>
  <c r="C52" i="7"/>
  <c r="F51" i="7"/>
  <c r="E50" i="7"/>
  <c r="H49" i="7"/>
  <c r="D49" i="7"/>
  <c r="G48" i="7"/>
  <c r="C48" i="7"/>
  <c r="D46" i="10" s="1"/>
  <c r="C58" i="7"/>
  <c r="F52" i="7"/>
  <c r="E51" i="7"/>
  <c r="H50" i="7"/>
  <c r="D50" i="7"/>
  <c r="G49" i="7"/>
  <c r="C49" i="7"/>
  <c r="F48" i="7"/>
  <c r="E52" i="7"/>
  <c r="H51" i="7"/>
  <c r="D51" i="7"/>
  <c r="G50" i="7"/>
  <c r="C50" i="7"/>
  <c r="F49" i="7"/>
  <c r="E48" i="7"/>
  <c r="F50" i="7"/>
  <c r="H48" i="7"/>
  <c r="K35" i="6"/>
  <c r="K14" i="6"/>
  <c r="K18" i="6" s="1"/>
  <c r="D52" i="7"/>
  <c r="K25" i="6"/>
  <c r="G86" i="9" s="1"/>
  <c r="G51" i="7"/>
  <c r="D48" i="7"/>
  <c r="H52" i="7"/>
  <c r="C51" i="7"/>
  <c r="E49" i="7"/>
  <c r="F21" i="7"/>
  <c r="G21" i="7" s="1"/>
  <c r="E83" i="10"/>
  <c r="D19" i="8"/>
  <c r="C40" i="8"/>
  <c r="E40" i="8" s="1"/>
  <c r="G40" i="8" s="1"/>
  <c r="D22" i="6"/>
  <c r="D31" i="6"/>
  <c r="I30" i="6"/>
  <c r="E18" i="7"/>
  <c r="C39" i="7"/>
  <c r="E17" i="8"/>
  <c r="G17" i="8" s="1"/>
  <c r="I20" i="6"/>
  <c r="H74" i="8"/>
  <c r="K18" i="7"/>
  <c r="E39" i="7"/>
  <c r="D38" i="7"/>
  <c r="F38" i="7" s="1"/>
  <c r="G18" i="7"/>
  <c r="K32" i="6"/>
  <c r="K34" i="6" s="1"/>
  <c r="H114" i="8"/>
  <c r="G114" i="8"/>
  <c r="I114" i="8" s="1"/>
  <c r="I21" i="7"/>
  <c r="J21" i="7" s="1"/>
  <c r="D39" i="7"/>
  <c r="H18" i="7"/>
  <c r="C115" i="8"/>
  <c r="F83" i="10"/>
  <c r="C19" i="8"/>
  <c r="E31" i="6"/>
  <c r="E22" i="6"/>
  <c r="F59" i="8"/>
  <c r="E115" i="8"/>
  <c r="G42" i="7"/>
  <c r="F42" i="7"/>
  <c r="G83" i="10"/>
  <c r="F82" i="8"/>
  <c r="D61" i="8"/>
  <c r="F31" i="6"/>
  <c r="F22" i="6"/>
  <c r="F13" i="8"/>
  <c r="C20" i="7"/>
  <c r="G43" i="7"/>
  <c r="F43" i="7"/>
  <c r="D20" i="7"/>
  <c r="D30" i="7"/>
  <c r="H83" i="10"/>
  <c r="C61" i="8"/>
  <c r="F115" i="8"/>
  <c r="C82" i="8"/>
  <c r="E82" i="8" s="1"/>
  <c r="H22" i="6"/>
  <c r="H31" i="6"/>
  <c r="G80" i="8"/>
  <c r="I80" i="8" s="1"/>
  <c r="G38" i="7"/>
  <c r="D31" i="10"/>
  <c r="F31" i="10" s="1"/>
  <c r="H31" i="10" s="1"/>
  <c r="I28" i="5"/>
  <c r="I17" i="5"/>
  <c r="F41" i="7"/>
  <c r="G41" i="7"/>
  <c r="J18" i="7"/>
  <c r="E38" i="7"/>
  <c r="H38" i="7" s="1"/>
  <c r="G82" i="8" l="1"/>
  <c r="I82" i="8" s="1"/>
  <c r="F38" i="8"/>
  <c r="G115" i="8"/>
  <c r="I115" i="8" s="1"/>
  <c r="F22" i="7"/>
  <c r="I21" i="6"/>
  <c r="J21" i="6" s="1"/>
  <c r="I31" i="6"/>
  <c r="C21" i="7"/>
  <c r="D21" i="7" s="1"/>
  <c r="D31" i="7" s="1"/>
  <c r="D85" i="10"/>
  <c r="D7" i="10" s="1"/>
  <c r="F7" i="10" s="1"/>
  <c r="H7" i="10" s="1"/>
  <c r="C85" i="9"/>
  <c r="D42" i="8"/>
  <c r="D36" i="6"/>
  <c r="E61" i="8"/>
  <c r="G61" i="8" s="1"/>
  <c r="H82" i="8"/>
  <c r="E117" i="8"/>
  <c r="E116" i="8"/>
  <c r="H115" i="8"/>
  <c r="H19" i="7"/>
  <c r="H20" i="7" s="1"/>
  <c r="I31" i="7"/>
  <c r="G20" i="7"/>
  <c r="G30" i="7"/>
  <c r="F39" i="7"/>
  <c r="H39" i="7"/>
  <c r="G39" i="7"/>
  <c r="E85" i="10"/>
  <c r="D8" i="10" s="1"/>
  <c r="F8" i="10" s="1"/>
  <c r="H8" i="10" s="1"/>
  <c r="D85" i="9"/>
  <c r="C42" i="8"/>
  <c r="E42" i="8" s="1"/>
  <c r="G42" i="8" s="1"/>
  <c r="D21" i="8"/>
  <c r="E36" i="6"/>
  <c r="F31" i="7"/>
  <c r="F40" i="8"/>
  <c r="C62" i="7"/>
  <c r="K19" i="6"/>
  <c r="K20" i="6" s="1"/>
  <c r="F85" i="10"/>
  <c r="D9" i="10" s="1"/>
  <c r="F9" i="10" s="1"/>
  <c r="H9" i="10" s="1"/>
  <c r="C97" i="8"/>
  <c r="E97" i="8" s="1"/>
  <c r="E85" i="9"/>
  <c r="C21" i="8"/>
  <c r="E21" i="8" s="1"/>
  <c r="G21" i="8" s="1"/>
  <c r="C117" i="8"/>
  <c r="D115" i="8"/>
  <c r="C116" i="8"/>
  <c r="D116" i="8" s="1"/>
  <c r="I22" i="7"/>
  <c r="K20" i="7"/>
  <c r="K19" i="7"/>
  <c r="K30" i="7" s="1"/>
  <c r="J30" i="7"/>
  <c r="J20" i="7"/>
  <c r="E102" i="9"/>
  <c r="H85" i="10"/>
  <c r="D11" i="10" s="1"/>
  <c r="F11" i="10" s="1"/>
  <c r="H11" i="10" s="1"/>
  <c r="F117" i="8"/>
  <c r="G117" i="8" s="1"/>
  <c r="I117" i="8" s="1"/>
  <c r="B7" i="9"/>
  <c r="C63" i="8"/>
  <c r="C84" i="8"/>
  <c r="E84" i="8" s="1"/>
  <c r="G84" i="8" s="1"/>
  <c r="I84" i="8" s="1"/>
  <c r="G85" i="10"/>
  <c r="D10" i="10" s="1"/>
  <c r="F10" i="10" s="1"/>
  <c r="H10" i="10" s="1"/>
  <c r="C102" i="9"/>
  <c r="F84" i="8"/>
  <c r="D63" i="8"/>
  <c r="H36" i="6"/>
  <c r="C8" i="9" s="1"/>
  <c r="F17" i="8"/>
  <c r="E19" i="8"/>
  <c r="G19" i="8" s="1"/>
  <c r="H80" i="8"/>
  <c r="E20" i="7"/>
  <c r="E30" i="7"/>
  <c r="E19" i="7"/>
  <c r="J31" i="6"/>
  <c r="J22" i="6"/>
  <c r="H30" i="7" l="1"/>
  <c r="K30" i="6"/>
  <c r="D22" i="7"/>
  <c r="K21" i="6"/>
  <c r="K22" i="6" s="1"/>
  <c r="H21" i="7"/>
  <c r="H31" i="7" s="1"/>
  <c r="H7" i="9"/>
  <c r="F85" i="9"/>
  <c r="D43" i="10"/>
  <c r="E21" i="7"/>
  <c r="E31" i="7" s="1"/>
  <c r="D102" i="9"/>
  <c r="H117" i="8"/>
  <c r="F19" i="8"/>
  <c r="J36" i="6"/>
  <c r="I8" i="9" s="1"/>
  <c r="F61" i="8"/>
  <c r="F21" i="8"/>
  <c r="G22" i="7"/>
  <c r="G31" i="7"/>
  <c r="C31" i="7"/>
  <c r="I22" i="6"/>
  <c r="I36" i="6" s="1"/>
  <c r="D42" i="10"/>
  <c r="F42" i="10" s="1"/>
  <c r="H42" i="10" s="1"/>
  <c r="H84" i="8"/>
  <c r="E63" i="8"/>
  <c r="G63" i="8" s="1"/>
  <c r="C90" i="9"/>
  <c r="C72" i="7"/>
  <c r="C36" i="7"/>
  <c r="E43" i="10"/>
  <c r="F42" i="8"/>
  <c r="J22" i="7"/>
  <c r="J31" i="7"/>
  <c r="K21" i="7"/>
  <c r="K22" i="7" s="1"/>
  <c r="D117" i="8"/>
  <c r="G116" i="8"/>
  <c r="I116" i="8" s="1"/>
  <c r="C22" i="7"/>
  <c r="K31" i="7" l="1"/>
  <c r="E22" i="7"/>
  <c r="D90" i="9" s="1"/>
  <c r="F63" i="8"/>
  <c r="K31" i="6"/>
  <c r="D92" i="9"/>
  <c r="E37" i="7"/>
  <c r="D54" i="10"/>
  <c r="F54" i="10" s="1"/>
  <c r="H54" i="10" s="1"/>
  <c r="J7" i="9"/>
  <c r="G85" i="9"/>
  <c r="E46" i="10"/>
  <c r="F46" i="10" s="1"/>
  <c r="H46" i="10" s="1"/>
  <c r="D44" i="10"/>
  <c r="D62" i="7"/>
  <c r="D60" i="7"/>
  <c r="D58" i="7"/>
  <c r="D61" i="7"/>
  <c r="D59" i="7"/>
  <c r="K36" i="6"/>
  <c r="C92" i="9"/>
  <c r="E72" i="7"/>
  <c r="E36" i="7"/>
  <c r="H36" i="7" s="1"/>
  <c r="C37" i="7"/>
  <c r="E44" i="10"/>
  <c r="C91" i="9"/>
  <c r="D36" i="7"/>
  <c r="F36" i="7" s="1"/>
  <c r="D72" i="7"/>
  <c r="H116" i="8"/>
  <c r="H22" i="7"/>
  <c r="F43" i="10"/>
  <c r="H43" i="10" s="1"/>
  <c r="F44" i="10" l="1"/>
  <c r="H44" i="10" s="1"/>
  <c r="G36" i="7"/>
  <c r="D91" i="9"/>
  <c r="D37" i="7"/>
  <c r="F37" i="7" s="1"/>
  <c r="H37" i="7"/>
  <c r="G37" i="7"/>
  <c r="K8" i="9"/>
  <c r="D55" i="10" s="1"/>
  <c r="F55" i="10" s="1"/>
  <c r="H55" i="10" s="1"/>
  <c r="D52" i="10"/>
  <c r="F52" i="10" s="1"/>
  <c r="H52" i="10" s="1"/>
  <c r="D45" i="10"/>
  <c r="F45" i="10" s="1"/>
  <c r="H45" i="10" s="1"/>
  <c r="D53" i="10" l="1"/>
  <c r="F53" i="10" s="1"/>
  <c r="H53" i="10" s="1"/>
  <c r="B4" i="10" s="1"/>
  <c r="B4" i="9" l="1"/>
  <c r="A4" i="1"/>
</calcChain>
</file>

<file path=xl/sharedStrings.xml><?xml version="1.0" encoding="utf-8"?>
<sst xmlns="http://schemas.openxmlformats.org/spreadsheetml/2006/main" count="1900" uniqueCount="885">
  <si>
    <t>Erste Group Financial Performance and Forecast Model</t>
  </si>
  <si>
    <t>Portfolio project - bank controlling / FP&amp;A. Built with public information only.</t>
  </si>
  <si>
    <t>DATA TYPE: READ FIRST - this sheet explains the data types, the structure and the limits of the workbook.</t>
  </si>
  <si>
    <t>Purpose</t>
  </si>
  <si>
    <t>Analyse the reported performance of Erste Group Bank AG (Vienna) for FY2023-FY2025 and H1 2026, and forecast H2 2026 and FY2027 under three scenarios.</t>
  </si>
  <si>
    <t>Research cut-off</t>
  </si>
  <si>
    <t>11 October 2026. Latest published period: half-year 2026 (results of 30 July 2026). Q3 2026 results had not been published at the cut-off.</t>
  </si>
  <si>
    <t>Reporting periods</t>
  </si>
  <si>
    <t>Annual: FY2023, FY2024, FY2025 (calendar years). Interim: H1 2026 compared with H1 2025. Quarterly data: Q1 2023 - Q2 2026. Erste's financial year equals the calendar year.</t>
  </si>
  <si>
    <t>Accounting basis</t>
  </si>
  <si>
    <t>Consolidated figures under IFRS as adopted by the EU (verified in the 2025 financial statements and the H1 2026 interim report, which is presented under IAS 34). Annual statements are audited; the half-year report is neither audited nor reviewed. Currency: EUR. Unit: EUR million unless stated.</t>
  </si>
  <si>
    <t>Data types - keep them apart</t>
  </si>
  <si>
    <t>REPORTED ACTUAL: copied from an Erste publication (sheet Reported_Actuals, blue font).  DERIVED: calculated from reported actuals by formula (e.g. half-year sums, ratios, 'excluding Poland').  ANALYST ASSUMPTION: the author's own input (yellow cells on Assumptions).  FORECAST: result of the assumptions (columns marked E).  ILLUSTRATIVE PLAN: a synthetic plan built from the public outlook of 26 February 2026 - it is NOT Erste Group's internal budget.</t>
  </si>
  <si>
    <t>Sign convention</t>
  </si>
  <si>
    <t>Income is positive; expenses, impairments and taxes are negative, as published. A positive variance therefore always increases profit (favourable).</t>
  </si>
  <si>
    <t>Comparability</t>
  </si>
  <si>
    <t>Erste acquired 49% of Santander Bank Polska (now Erste Bank Polska) and 50% of an asset manager; closing was 9 January 2026 and the business is consolidated from 1 January 2026. H1 2026 therefore includes Poland and all earlier periods do not. Adjustments are made only with disclosed data: the Poland operating segment and the one-off items in tblDisclosed.</t>
  </si>
  <si>
    <t>Interim figures</t>
  </si>
  <si>
    <t>Half-year figures are never annualised into annual results. FY2026E = H1 2026 actual + H2 2026 forecast. Ratios that need annualising (risk cost in bp) say so.</t>
  </si>
  <si>
    <t>How to use</t>
  </si>
  <si>
    <t>1) Pick a scenario in Assumptions!C4.  2) Edit yellow cells only.  3) Read results on Forecast, Scenarios, Variance_Analysis and Dashboard.  4) Confirm Checks shows all PASS.</t>
  </si>
  <si>
    <t>Sheets</t>
  </si>
  <si>
    <t>Read_Me | Source_Register | Reported_Actuals (inputs) | KPI_Definitions | Assumptions (inputs) | Forecast (calculation) | Scenarios (calculation) | Variance_Analysis (calculation) | Dashboard | Checks</t>
  </si>
  <si>
    <t>Colour code</t>
  </si>
  <si>
    <t>Blue font = hard-coded input or reported figure.  Yellow fill = editable assumption.  Black = formula.  Orange header = forecast column.  Grey fill = subtotal.</t>
  </si>
  <si>
    <t>What is not modelled</t>
  </si>
  <si>
    <t>CET1 ratio, ROTE and net interest margin are shown as reported and are not forecast: that would need a capital plan, risk-weighted assets and a balance-sheet model. Segments other than Poland, FX effects, and quarterly phasing of the forecast are outside the scope.</t>
  </si>
  <si>
    <t>How the file was produced</t>
  </si>
  <si>
    <t>Generated by Python (openpyxl) from the CSV files in /data; all calculations are Excel formulas. The file has no values calculated in Python. See validation_results.csv for what was tested in Excel and what was tested only in Python.</t>
  </si>
  <si>
    <t>Disclaimer</t>
  </si>
  <si>
    <t>Educational portfolio work based on public information. Forecasts are illustrative scenarios, not company guidance and not investment advice. Not affiliated with or endorsed by Erste Group Bank AG.</t>
  </si>
  <si>
    <t>Source register</t>
  </si>
  <si>
    <t>Every figure on Reported_Actuals traces to one of these documents. Research cut-off: 11 October 2026.</t>
  </si>
  <si>
    <t>DATA TYPE: DOCUMENTATION - official Erste Group investor-relations publications only.</t>
  </si>
  <si>
    <t>Source Id</t>
  </si>
  <si>
    <t>Document Title</t>
  </si>
  <si>
    <t>Publisher</t>
  </si>
  <si>
    <t>Publication Date</t>
  </si>
  <si>
    <t>Reporting Period</t>
  </si>
  <si>
    <t>Url</t>
  </si>
  <si>
    <t>Page Table Reference</t>
  </si>
  <si>
    <t>Currency</t>
  </si>
  <si>
    <t>Unit</t>
  </si>
  <si>
    <t>Accounting Basis</t>
  </si>
  <si>
    <t>Audit Status</t>
  </si>
  <si>
    <t>Extraction Method</t>
  </si>
  <si>
    <t>Used For</t>
  </si>
  <si>
    <t>Accessed Date</t>
  </si>
  <si>
    <t>S01</t>
  </si>
  <si>
    <t>Annual Report 2025 - Consolidated statement of income (XLSX)</t>
  </si>
  <si>
    <t>Erste Group Bank AG, Investor Relations</t>
  </si>
  <si>
    <t>March 2026 (file last modified 2026-03-05; exact web publication date not verified)</t>
  </si>
  <si>
    <t>FY2025 (1-12 25) with FY2024 comparative</t>
  </si>
  <si>
    <t>https://cdn.erstegroup.com/content/dam/at/eh/www_erstegroup_com/en/Investor_Relations/onlinear2025/xlsx/AR25_Statement_of_income.xlsx</t>
  </si>
  <si>
    <t>Sheet 'Tabelle1', rows 3-28</t>
  </si>
  <si>
    <t>EUR</t>
  </si>
  <si>
    <t>EUR million (EPS table: EUR thousand)</t>
  </si>
  <si>
    <t>IFRS as adopted by the EU (verified in S10, basis of preparation)</t>
  </si>
  <si>
    <t>Extract of audited consolidated financial statements</t>
  </si>
  <si>
    <t>Automated cell read (openpyxl), code/01_extract_data.py</t>
  </si>
  <si>
    <t>As-reported FY2024 and FY2025 statement lines (tblRep)</t>
  </si>
  <si>
    <t>2026-10-11</t>
  </si>
  <si>
    <t>S02</t>
  </si>
  <si>
    <t>Annual Report 2025 - Key financial and operating data, 5-year summary (XLSX)</t>
  </si>
  <si>
    <t>March 2026 (file last modified 2026-03-11; exact web publication date not verified)</t>
  </si>
  <si>
    <t>FY2021-FY2025</t>
  </si>
  <si>
    <t>https://cdn.erstegroup.com/content/dam/at/eh/www_erstegroup_com/en/Investor_Relations/onlinear2025/xlsx/AR25_Key_Data.xlsx</t>
  </si>
  <si>
    <t>Sheet 'Tabelle1', income statement and ratio blocks</t>
  </si>
  <si>
    <t>EUR million; ratios as decimals</t>
  </si>
  <si>
    <t>Company-published summary of audited figures; ratios are company-defined</t>
  </si>
  <si>
    <t>Reported subtotals and ratios FY2023-FY2025 (operating income, CIR, ROTE, CET1 etc.)</t>
  </si>
  <si>
    <t>S03</t>
  </si>
  <si>
    <t>Annual Report 2023 - Consolidated statement of income (XLSX)</t>
  </si>
  <si>
    <t>March 2024 (file last modified 2024-03-28; exact web publication date not verified)</t>
  </si>
  <si>
    <t>FY2023 (1-12 23) with FY2022 comparative</t>
  </si>
  <si>
    <t>https://cdn.erstegroup.com/content/dam/at/eh/www_erstegroup_com/en/Investor_Relations/onlineAR2023/AR23_Statement_of_income.xlsx</t>
  </si>
  <si>
    <t>EUR million</t>
  </si>
  <si>
    <t>As-reported FY2023 statement lines (tblRep)</t>
  </si>
  <si>
    <t>S04</t>
  </si>
  <si>
    <t>Annual Report 2024 - Consolidated statement of income (XLSX)</t>
  </si>
  <si>
    <t>March 2025 (file last modified 2025-03-20; exact web publication date not verified)</t>
  </si>
  <si>
    <t>FY2024 with FY2023 comparative</t>
  </si>
  <si>
    <t>https://cdn.erstegroup.com/content/dam/at/eh/www_erstegroup_com/en/Investor_Relations/onlinear2024/xlsx/AR24_Statement_of_income.xlsx</t>
  </si>
  <si>
    <t>Sheet 'Tabelle1'</t>
  </si>
  <si>
    <t>EUR million (file stores thousands separators as decimals, e.g. 7.528 = 7,528)</t>
  </si>
  <si>
    <t>Visual cross-check only; NOT used for figures because of the number-format issue</t>
  </si>
  <si>
    <t>Confirms FY2023 comparatives were not restated in AR2024</t>
  </si>
  <si>
    <t>S05</t>
  </si>
  <si>
    <t>Erste Group Key Financials 2025 - analyst data sheets (XLSX)</t>
  </si>
  <si>
    <t>2026-02-26 (with preliminary FY2025 results; file last modified 2026-02-25)</t>
  </si>
  <si>
    <t>Quarterly Q1 2023 - Q4 2025</t>
  </si>
  <si>
    <t>https://cdn.erstegroup.com/content/dam/at/eh/www_erstegroup_com/en/Investor_Relations/2026/tab/IR_Tab_YE25_EG_fin_data_sheets.xlsx</t>
  </si>
  <si>
    <t>Sheets AS T01, AS T02, AS T03, AS T06</t>
  </si>
  <si>
    <t>EUR million, unrounded; ratios as decimals</t>
  </si>
  <si>
    <t>Preliminary and unaudited at publication; quarterly sums reconcile to the audited statements within rounding (see Checks)</t>
  </si>
  <si>
    <t>Automated cell read by row label (openpyxl), code/01_extract_data.py</t>
  </si>
  <si>
    <t>Quarterly values for Q1 23 and Q2 23; vintage comparison for Q3 23 - Q4 25</t>
  </si>
  <si>
    <t>S06</t>
  </si>
  <si>
    <t>Erste Group Key Financials H1 2026 - analyst data sheets (XLSX)</t>
  </si>
  <si>
    <t>2026-07-30 (file last modified 2026-07-29)</t>
  </si>
  <si>
    <t>Quarterly Q3 2023 - Q2 2026</t>
  </si>
  <si>
    <t>https://cdn.erstegroup.com/content/dam/at/eh/www_erstegroup_com/en/Investor_Relations/2026/tab/IR_Tab_H126_EG_fin_data_sheets.xlsx</t>
  </si>
  <si>
    <t>Sheets AS T01, AS T02, AS T03 (equity, own funds), AS T04 (Poland segment), AS T06 (gross customer loans)</t>
  </si>
  <si>
    <t>IFRS as adopted by the EU, presented under IAS 34 (verified in S07, PDF p.25)</t>
  </si>
  <si>
    <t>Unaudited</t>
  </si>
  <si>
    <t>Quarterly values Q3 23 - Q2 26 (tblQ), Poland segment (tblPoland), gross loans, equity, CET1 capital, risk-weighted assets</t>
  </si>
  <si>
    <t>S07</t>
  </si>
  <si>
    <t>Interim Report - First Half Year 2026 (PDF)</t>
  </si>
  <si>
    <t>Erste Group Bank AG</t>
  </si>
  <si>
    <t>2026-07-30</t>
  </si>
  <si>
    <t>1 January - 30 June 2026; comparatives 1-6 2025 and 31 December 2025</t>
  </si>
  <si>
    <t>https://cdn.erstegroup.com/content/dam/at/eh/www_erstegroup_com/en/Investor_Relations/2026/reports/IR_Interim_Report_EG_H126.pdf</t>
  </si>
  <si>
    <t>PDF p.3 (CEO letter); PDF p.18 / printed p.17 (statement of income); PDF p.25 (basis of preparation); PDF p.76-79 (Note 36 acquisition of Erste Bank Polska)</t>
  </si>
  <si>
    <t>Neither audited nor reviewed by an auditor (stated in the report)</t>
  </si>
  <si>
    <t>Manual transcription from the PDF text layer (pypdf), data/reported_h1_statement.csv and data/disclosed_items.csv</t>
  </si>
  <si>
    <t>As-reported H1 2025 / H1 2026 statement; acquisition facts; one-off items; accounting basis</t>
  </si>
  <si>
    <t>S08</t>
  </si>
  <si>
    <t>Investor information: Erste Group posts net profit of EUR 1,975 million in the first six months of 2026 (PDF)</t>
  </si>
  <si>
    <t>1-6 2026 vs 1-6 2025; balance sheet 30 June 2026 vs 31 December 2025</t>
  </si>
  <si>
    <t>https://cdn.erstegroup.com/content/dam/at/eh/www_erstegroup_com/en/Investor_Relations/2026/news_en/IR_News_260730en_H126.pdf</t>
  </si>
  <si>
    <t>p.1 financial data table; p.2 highlights; p.3-4 outlook 2026 and financial ambition to 2030</t>
  </si>
  <si>
    <t>EUR million; ratios in %</t>
  </si>
  <si>
    <t>Manual transcription from the PDF text layer (pypdf)</t>
  </si>
  <si>
    <t>Reported H1 ratios, Poland contributions, one-off amounts, company outlook (not used as actuals)</t>
  </si>
  <si>
    <t>S09</t>
  </si>
  <si>
    <t>Investor information: Erste Group posts net profit of EUR 3,510 million in 2025 (PDF)</t>
  </si>
  <si>
    <t>2026-02-26</t>
  </si>
  <si>
    <t>FY2025 vs FY2024</t>
  </si>
  <si>
    <t>https://cdn.erstegroup.com/content/dam/at/eh/www_erstegroup_com/en/Investor_Relations/2026/news_en/IR_News_260226en_YE25.pdf</t>
  </si>
  <si>
    <t>p.2 highlights; p.3-4 outlook 2026; p.7 other operating result</t>
  </si>
  <si>
    <t>Preliminary results at publication</t>
  </si>
  <si>
    <t>FY2025 one-off items; February 2026 outlook used as the basis of the ILLUSTRATIVE plan</t>
  </si>
  <si>
    <t>S10</t>
  </si>
  <si>
    <t>Annual Report 2025 - Group Consolidated Financial Statements (IFRS) (PDF)</t>
  </si>
  <si>
    <t>March 2026 (PDF generated 2026-03-13; exact web publication date not verified)</t>
  </si>
  <si>
    <t>FY2025</t>
  </si>
  <si>
    <t>https://cdn.erstegroup.com/content/dam/at/eh/www_erstegroup_com/en/Investor_Relations/onlinear2025/ar25reports/AR2025_Group_Consolidated_Financial_Statements_en.pdf</t>
  </si>
  <si>
    <t>PDF p.9, Material accounting policies a) Basis of preparation; Note 63 Fees of the auditors</t>
  </si>
  <si>
    <t>IFRS Accounting Standards as adopted by the EU; Section 59a Austrian Banking Act and Section 245a Austrian Commercial Code</t>
  </si>
  <si>
    <t>Audited (auditors named in Note 63: Sparkassen-Pruefungsverband and PwC)</t>
  </si>
  <si>
    <t>Read from the PDF text layer (pypdf)</t>
  </si>
  <si>
    <t>Verification of the accounting basis; no figures taken</t>
  </si>
  <si>
    <t>S11</t>
  </si>
  <si>
    <t>Annual Report 2025 - Glossary (PDF)</t>
  </si>
  <si>
    <t>March 2026 (PDF generated 2026-03-11; exact web publication date not verified)</t>
  </si>
  <si>
    <t>https://cdn.erstegroup.com/content/dam/at/eh/www_erstegroup_com/en/Investor_Relations/onlinear2025/ar25reports/AR2025_Glossary.pdf</t>
  </si>
  <si>
    <t>p.1-3 glossary entries</t>
  </si>
  <si>
    <t>n/a</t>
  </si>
  <si>
    <t>Company definitions of cost/income ratio, ROTE, operating income, CET1 ratio, NPL ratio, tax ratio</t>
  </si>
  <si>
    <t>Reported actuals - Erste Group Bank AG (consolidated)</t>
  </si>
  <si>
    <t>EUR million unless stated. Income positive, expenses and charges negative, exactly as published. Blank cell = not published in the downloaded sources (never a zero).</t>
  </si>
  <si>
    <t>DATA TYPE: REPORTED ACTUALS - copied from Erste Group publications listed in Source_Register. No estimates, no forecasts on this sheet.</t>
  </si>
  <si>
    <t>Table tblQ - quarterly reported figures, unrounded (S06 for Q3 23 - Q2 26, S05 for Q1 23 - Q2 23)</t>
  </si>
  <si>
    <t>Code</t>
  </si>
  <si>
    <t>Line item</t>
  </si>
  <si>
    <t>Q1 23</t>
  </si>
  <si>
    <t>Q2 23</t>
  </si>
  <si>
    <t>Q3 23</t>
  </si>
  <si>
    <t>Q4 23</t>
  </si>
  <si>
    <t>Q1 24</t>
  </si>
  <si>
    <t>Q2 24</t>
  </si>
  <si>
    <t>Q3 24</t>
  </si>
  <si>
    <t>Q4 24</t>
  </si>
  <si>
    <t>Q1 25</t>
  </si>
  <si>
    <t>Q2 25</t>
  </si>
  <si>
    <t>Q3 25</t>
  </si>
  <si>
    <t>Q4 25</t>
  </si>
  <si>
    <t>Q1 26</t>
  </si>
  <si>
    <t>Q2 26</t>
  </si>
  <si>
    <t>Source</t>
  </si>
  <si>
    <t>NII</t>
  </si>
  <si>
    <t>Net interest income</t>
  </si>
  <si>
    <t>EUR m</t>
  </si>
  <si>
    <t>S06 (Q1-Q2 23: S05)</t>
  </si>
  <si>
    <t>NFCI</t>
  </si>
  <si>
    <t>Net fee and commission income</t>
  </si>
  <si>
    <t>DIV</t>
  </si>
  <si>
    <t>Dividend income</t>
  </si>
  <si>
    <t>TRADING</t>
  </si>
  <si>
    <t>Net trading result</t>
  </si>
  <si>
    <t>FVPL</t>
  </si>
  <si>
    <t>Gains/losses from financial instruments measured at fair value through profit or loss</t>
  </si>
  <si>
    <t>EQUITY_METHOD</t>
  </si>
  <si>
    <t>Net result from equity method investments</t>
  </si>
  <si>
    <t>RENTAL</t>
  </si>
  <si>
    <t>Rental income from investment properties &amp; other operating leases</t>
  </si>
  <si>
    <t>PERSONNEL</t>
  </si>
  <si>
    <t>Personnel expenses</t>
  </si>
  <si>
    <t>OTHER_ADMIN</t>
  </si>
  <si>
    <t>Other administrative expenses</t>
  </si>
  <si>
    <t>DA</t>
  </si>
  <si>
    <t>Depreciation and amortisation</t>
  </si>
  <si>
    <t>DEREC_AC</t>
  </si>
  <si>
    <t>Gains/losses from derecognition of financial assets measured at amortised cost</t>
  </si>
  <si>
    <t>DEREC_OTHER</t>
  </si>
  <si>
    <t>Other gains/losses from derecognition of financial instruments not measured at fair value through profit or loss</t>
  </si>
  <si>
    <t>IMPAIRMENT</t>
  </si>
  <si>
    <t>Impairment result from financial instruments</t>
  </si>
  <si>
    <t>OTHER_OP_RESULT</t>
  </si>
  <si>
    <t>Other operating result</t>
  </si>
  <si>
    <t>LEVIES</t>
  </si>
  <si>
    <t>Levies on banking activities</t>
  </si>
  <si>
    <t>PRETAX</t>
  </si>
  <si>
    <t>Pre-tax result from continuing operations</t>
  </si>
  <si>
    <t>TAX</t>
  </si>
  <si>
    <t>Taxes on income</t>
  </si>
  <si>
    <t>NET_RESULT</t>
  </si>
  <si>
    <t>Net result for the period</t>
  </si>
  <si>
    <t>NCI</t>
  </si>
  <si>
    <t>Net result attributable to non-controlling interests</t>
  </si>
  <si>
    <t>NET_PROFIT</t>
  </si>
  <si>
    <t>Net result attributable to owners of the parent</t>
  </si>
  <si>
    <t>AT1_DIV</t>
  </si>
  <si>
    <t>Dividend on AT1 capital (after tax effect)</t>
  </si>
  <si>
    <t>REP_OP_INCOME</t>
  </si>
  <si>
    <t>Operating income</t>
  </si>
  <si>
    <t>REP_OPEX</t>
  </si>
  <si>
    <t>Operating expenses</t>
  </si>
  <si>
    <t>REP_OP_RESULT</t>
  </si>
  <si>
    <t>Operating result</t>
  </si>
  <si>
    <t>REP_CIR</t>
  </si>
  <si>
    <t>Cost/income ratio</t>
  </si>
  <si>
    <t>ratio</t>
  </si>
  <si>
    <t>REP_NIM</t>
  </si>
  <si>
    <t>Net interest margin (on average interest-bearing assets)</t>
  </si>
  <si>
    <t>REP_PROV_RATIO</t>
  </si>
  <si>
    <t>Provisioning ratio (on average gross customer loans)</t>
  </si>
  <si>
    <t>REP_TAX_RATE</t>
  </si>
  <si>
    <t>Tax rate</t>
  </si>
  <si>
    <t>REP_ROTE</t>
  </si>
  <si>
    <t>Return on tangible equity</t>
  </si>
  <si>
    <t>REP_CET1</t>
  </si>
  <si>
    <t>CET1 ratio (phased-in)</t>
  </si>
  <si>
    <t>REP_NPL</t>
  </si>
  <si>
    <t>NPL ratio</t>
  </si>
  <si>
    <t>REP_LDR</t>
  </si>
  <si>
    <t>Loan/deposit ratio</t>
  </si>
  <si>
    <t>TOTAL_ASSETS</t>
  </si>
  <si>
    <t>Total assets</t>
  </si>
  <si>
    <t>TOTAL_LIAB_EQ</t>
  </si>
  <si>
    <t>Total liabilities and equity</t>
  </si>
  <si>
    <t>CUST_LOANS_NET</t>
  </si>
  <si>
    <t>Loans and receivables to customers</t>
  </si>
  <si>
    <t>CUST_DEPOSITS</t>
  </si>
  <si>
    <t>Deposits from customers</t>
  </si>
  <si>
    <t>TOTAL_EQUITY</t>
  </si>
  <si>
    <t>Total equity</t>
  </si>
  <si>
    <t>INTANGIBLES</t>
  </si>
  <si>
    <t>Intangible assets</t>
  </si>
  <si>
    <t>EQUITY_OWNERS</t>
  </si>
  <si>
    <t>Equity attributable to owners of the parent</t>
  </si>
  <si>
    <t>AT1_CAPITAL</t>
  </si>
  <si>
    <t>Additional equity instruments</t>
  </si>
  <si>
    <t>GROSS_LOANS</t>
  </si>
  <si>
    <t>Gross customer loans</t>
  </si>
  <si>
    <t>CET1_CAPITAL</t>
  </si>
  <si>
    <t>Common equity tier 1 capital (CET1) (CRR, phased-in)</t>
  </si>
  <si>
    <t>RWA</t>
  </si>
  <si>
    <t>Total risk exposure amount (CRR, phased-in)</t>
  </si>
  <si>
    <t>Table tblRep - as-reported statements, rounded as published (annual reports S01-S03, interim report S07, release S08)</t>
  </si>
  <si>
    <t>FY2023</t>
  </si>
  <si>
    <t>FY2024</t>
  </si>
  <si>
    <t>H1 2025</t>
  </si>
  <si>
    <t>H1 2026</t>
  </si>
  <si>
    <t>S03 (FY2023), S01 (FY2024-25); S07 (H1)</t>
  </si>
  <si>
    <t>S02; S08 (H1)</t>
  </si>
  <si>
    <t>CET1 capital ratio (CRR phased-in)</t>
  </si>
  <si>
    <t>REP_TFV</t>
  </si>
  <si>
    <t>Net trading result and gains/losses from financial instruments at FVPL</t>
  </si>
  <si>
    <t>REP_EPS</t>
  </si>
  <si>
    <t>Earnings per share</t>
  </si>
  <si>
    <t>S02; S07 (H1)</t>
  </si>
  <si>
    <t>REP_DPS</t>
  </si>
  <si>
    <t>Dividend per share (in EUR)</t>
  </si>
  <si>
    <t>S02; H1 not published</t>
  </si>
  <si>
    <t>Table tblPoland - Poland operating segment (Erste Bank Polska, consolidated from 1 January 2026; legal closing 9 January 2026)</t>
  </si>
  <si>
    <t>S06, sheet AS T04 (GeoSeg)</t>
  </si>
  <si>
    <t>OPEX</t>
  </si>
  <si>
    <t>General administrative expenses</t>
  </si>
  <si>
    <t>Table tblDisclosed - company-disclosed one-off items (O) and cross-check values (X). Sign = effect on profit.</t>
  </si>
  <si>
    <t>ID</t>
  </si>
  <si>
    <t>Period</t>
  </si>
  <si>
    <t>Item</t>
  </si>
  <si>
    <t>Value</t>
  </si>
  <si>
    <t>P&amp;L line</t>
  </si>
  <si>
    <t>Reference</t>
  </si>
  <si>
    <t>O1</t>
  </si>
  <si>
    <t>First-time-consolidation expected credit loss charge on the Polish portfolio (IFRS 9)</t>
  </si>
  <si>
    <t>p.2 Highlights: EUR 302 million or 23 basis points</t>
  </si>
  <si>
    <t>O2</t>
  </si>
  <si>
    <t>Integration costs booked in general administrative expenses</t>
  </si>
  <si>
    <t>p.2 Highlights: integration costs EUR 73 million</t>
  </si>
  <si>
    <t>O3</t>
  </si>
  <si>
    <t>Gain on sale of a Croatian subsidiary in other operating result</t>
  </si>
  <si>
    <t>PDF p.3 CEO letter and PDF p.9 quarterly commentary</t>
  </si>
  <si>
    <t>O4</t>
  </si>
  <si>
    <t>Positive one-off items in other operating result (company-stated approximate total)</t>
  </si>
  <si>
    <t>p.2 Highlights: approximately EUR 270 million in total</t>
  </si>
  <si>
    <t>O5</t>
  </si>
  <si>
    <t>Net positive one-offs in other operating result AFTER TAX (company-stated)</t>
  </si>
  <si>
    <t>p.4 Financial ambition: EUR 213 million after tax</t>
  </si>
  <si>
    <t>O6</t>
  </si>
  <si>
    <t>Acquisition-related costs (legal advisory due diligence) in administrative expenses</t>
  </si>
  <si>
    <t>PDF p.77 Note 36 Acquisition related costs</t>
  </si>
  <si>
    <t>X1</t>
  </si>
  <si>
    <t>Poland contribution to operating income (release text)</t>
  </si>
  <si>
    <t>p.2 Highlights</t>
  </si>
  <si>
    <t>X2</t>
  </si>
  <si>
    <t>Poland contribution to net interest income (release text)</t>
  </si>
  <si>
    <t>X3</t>
  </si>
  <si>
    <t>Poland contribution to net fee and commission income (release text)</t>
  </si>
  <si>
    <t>X4</t>
  </si>
  <si>
    <t>Poland general administrative expenses (release text)</t>
  </si>
  <si>
    <t>X5</t>
  </si>
  <si>
    <t>Poland minority charge (release text)</t>
  </si>
  <si>
    <t>X6</t>
  </si>
  <si>
    <t>Net interest income growth excluding Erste Bank Polska (CEO letter)</t>
  </si>
  <si>
    <t>PDF p.3 CEO letter</t>
  </si>
  <si>
    <t>X7</t>
  </si>
  <si>
    <t>Net fee and commission income growth excluding Erste Bank Polska (CEO letter)</t>
  </si>
  <si>
    <t>KPI definitions</t>
  </si>
  <si>
    <t>Every indicator used in the workbook: numerator, denominator, period basis, unit and the treatment of missing or misleading values.</t>
  </si>
  <si>
    <t>DATA TYPE: DOCUMENTATION - definitions follow Erste Group's glossary (S11) where the company publishes one; otherwise they are marked as analyst definitions.</t>
  </si>
  <si>
    <t>KPI</t>
  </si>
  <si>
    <t>Definition</t>
  </si>
  <si>
    <t>Numerator</t>
  </si>
  <si>
    <t>Denominator</t>
  </si>
  <si>
    <t>Period basis</t>
  </si>
  <si>
    <t>Missing or misleading values</t>
  </si>
  <si>
    <t>Source of definition</t>
  </si>
  <si>
    <t>Where used</t>
  </si>
  <si>
    <t>Net interest income + net fee and commission income + dividend income + net trading result + gains/losses from financial instruments at FVPL + net result from equity method investments + rental income</t>
  </si>
  <si>
    <t>Sum of the seven lines</t>
  </si>
  <si>
    <t>Flow for the period (quarters summed)</t>
  </si>
  <si>
    <t>No missing values in the dataset</t>
  </si>
  <si>
    <t>Erste glossary (S11)</t>
  </si>
  <si>
    <t>Forecast row 12</t>
  </si>
  <si>
    <t>Personnel expenses + other administrative expenses + depreciation and amortisation (also called general administrative expenses)</t>
  </si>
  <si>
    <t>Sum of the three lines</t>
  </si>
  <si>
    <t>Flow for the period</t>
  </si>
  <si>
    <t>EUR m (negative)</t>
  </si>
  <si>
    <t>No missing values</t>
  </si>
  <si>
    <t>Forecast row 13</t>
  </si>
  <si>
    <t>Operating income less operating expenses</t>
  </si>
  <si>
    <t>Operating income + operating expenses (signed)</t>
  </si>
  <si>
    <t>Forecast row 14</t>
  </si>
  <si>
    <t>Cost/income ratio (CIR)</t>
  </si>
  <si>
    <t>Operating expenses as a percentage of operating income</t>
  </si>
  <si>
    <t>Operating expenses (absolute value)</t>
  </si>
  <si>
    <t>Same period for both; no annualisation needed</t>
  </si>
  <si>
    <t>%</t>
  </si>
  <si>
    <t>Shows n.m. if operating income is zero or negative</t>
  </si>
  <si>
    <t>Forecast row 25; reported value row 39</t>
  </si>
  <si>
    <t>Risk costs</t>
  </si>
  <si>
    <t>Impairment result from financial instruments (IFRS 9 expected credit losses, net)</t>
  </si>
  <si>
    <t>Impairment result as reported</t>
  </si>
  <si>
    <t>EUR m (negative = charge)</t>
  </si>
  <si>
    <t>Erste income statement line</t>
  </si>
  <si>
    <t>Forecast row 15</t>
  </si>
  <si>
    <t>Risk cost in basis points</t>
  </si>
  <si>
    <t>Impairment result relative to average gross customer loans, annualised</t>
  </si>
  <si>
    <t>Impairment result (absolute) x annualisation factor (1 for a year, 2 for a half-year)</t>
  </si>
  <si>
    <t>Average gross customer loans: mean of quarter-end balances including the opening balance; forecast uses mean of opening and closing</t>
  </si>
  <si>
    <t>Annualised</t>
  </si>
  <si>
    <t>bp (1 bp = 0.01%)</t>
  </si>
  <si>
    <t>FY2023 shows n/a: the December 2022 opening balance is not in the downloaded files; the reported ratio is shown instead</t>
  </si>
  <si>
    <t>Erste 'provisioning ratio' (S02, S08); averaging method inferred and confirmed by Checks C18-C21</t>
  </si>
  <si>
    <t>Forecast row 28; reported value row 40</t>
  </si>
  <si>
    <t>Net profit</t>
  </si>
  <si>
    <t>Net result for the period less net result attributable to non-controlling interests</t>
  </si>
  <si>
    <t>Forecast row 22</t>
  </si>
  <si>
    <t>Taxes on income as a percentage of pre-tax result from continuing operations</t>
  </si>
  <si>
    <t>Taxes on income (absolute)</t>
  </si>
  <si>
    <t>Pre-tax result</t>
  </si>
  <si>
    <t>Same period</t>
  </si>
  <si>
    <t>Shows n.m. if pre-tax result is zero or negative</t>
  </si>
  <si>
    <t>Erste glossary 'tax ratio' (S11)</t>
  </si>
  <si>
    <t>Forecast row 30</t>
  </si>
  <si>
    <t>Minority share</t>
  </si>
  <si>
    <t>Share of the net result that belongs to non-controlling interests</t>
  </si>
  <si>
    <t>Shows n.m. if net result is zero or negative</t>
  </si>
  <si>
    <t>Analyst definition</t>
  </si>
  <si>
    <t>Forecast row 31</t>
  </si>
  <si>
    <t>Income / cost growth</t>
  </si>
  <si>
    <t>Change versus the comparable prior period</t>
  </si>
  <si>
    <t>Current period minus comparator</t>
  </si>
  <si>
    <t>Comparator (FY vs prior FY; H1 2026 vs H1 2025; H2 2026E vs H2 2025)</t>
  </si>
  <si>
    <t>Like-for-like period length; a half-year is never compared with a full year</t>
  </si>
  <si>
    <t>n/a where the comparator is outside the dataset; n.m. if the comparator is zero</t>
  </si>
  <si>
    <t>Forecast rows 32-33, 36</t>
  </si>
  <si>
    <t>Jaws</t>
  </si>
  <si>
    <t>Operating income growth minus operating expense growth</t>
  </si>
  <si>
    <t>Income growth %</t>
  </si>
  <si>
    <t>Cost growth % (subtracted)</t>
  </si>
  <si>
    <t>Same periods as above</t>
  </si>
  <si>
    <t>percentage points</t>
  </si>
  <si>
    <t>n/a if either growth rate is unavailable</t>
  </si>
  <si>
    <t>Analyst definition (common banking term)</t>
  </si>
  <si>
    <t>Forecast row 34</t>
  </si>
  <si>
    <t>NII share</t>
  </si>
  <si>
    <t>Net interest income as a share of operating income</t>
  </si>
  <si>
    <t>Forecast row 35</t>
  </si>
  <si>
    <t>Return on tangible equity (ROTE)</t>
  </si>
  <si>
    <t>Net profit attributable to owners less AT1 dividends, as a percentage of average equity attributable to owners adjusted for intangible assets and AT1</t>
  </si>
  <si>
    <t>Net profit attributable to owners - dividends on Additional Tier 1 capital (annualised for interim periods)</t>
  </si>
  <si>
    <t>Average of quarter-end equity attributable to owners less intangible assets</t>
  </si>
  <si>
    <t>REPORTED values are used. Not forecast. An approximate recalculation is shown in Checks helper 3 only as a plausibility test</t>
  </si>
  <si>
    <t>Forecast row 41; Checks helper 3</t>
  </si>
  <si>
    <t>CET1 ratio</t>
  </si>
  <si>
    <t>Common Equity Tier 1 capital as a percentage of total risk (risk-weighted assets) under the EU Capital Requirements Regulation (CRR), phased-in</t>
  </si>
  <si>
    <t>CET1 capital</t>
  </si>
  <si>
    <t>Total risk exposure amount</t>
  </si>
  <si>
    <t>Point in time (period end)</t>
  </si>
  <si>
    <t>REPORTED values only. Not forecast: no capital and risk-weighted-asset framework in this model</t>
  </si>
  <si>
    <t>Forecast row 42</t>
  </si>
  <si>
    <t>Net interest margin (NIM)</t>
  </si>
  <si>
    <t>Net interest income as a percentage of average interest-bearing assets</t>
  </si>
  <si>
    <t>Net interest income (annualised)</t>
  </si>
  <si>
    <t>Average interest-bearing assets</t>
  </si>
  <si>
    <t>REPORTED values only; not recalculated because interest-bearing assets are not in the dataset</t>
  </si>
  <si>
    <t>Forecast row 43</t>
  </si>
  <si>
    <t>Variance and F/U flag</t>
  </si>
  <si>
    <t>Current minus comparator on signed values; F if it raises profit, U if it lowers profit</t>
  </si>
  <si>
    <t>Current value - comparator</t>
  </si>
  <si>
    <t>% uses the absolute value of the comparator</t>
  </si>
  <si>
    <t>Same period length</t>
  </si>
  <si>
    <t>EUR m and %</t>
  </si>
  <si>
    <t>'-' if below EUR 0.5m; % shows n.m. if the comparator is below the threshold on Assumptions or the sign changes</t>
  </si>
  <si>
    <t>Variance_Analysis</t>
  </si>
  <si>
    <t>Assumptions - scenario drivers, illustrative plan and model parameters</t>
  </si>
  <si>
    <t>Yellow cells with blue font are the only cells meant to be edited. 'Live' = value of the selected scenario, used by the Forecast sheet. 'Historical reference' columns are formulas shown for comparison only; nothing depends on them.</t>
  </si>
  <si>
    <t>DATA TYPE: ANALYST ASSUMPTIONS (author's own, not company guidance) and an ILLUSTRATIVE, SYNTHETIC PLAN (not Erste's internal budget).</t>
  </si>
  <si>
    <t>Selected scenario</t>
  </si>
  <si>
    <t>Base</t>
  </si>
  <si>
    <t>&lt;- scenario index (formula). Choose Base, Upside or Downside in C4.</t>
  </si>
  <si>
    <t>Table tblAssump - scenario drivers</t>
  </si>
  <si>
    <t>Driver</t>
  </si>
  <si>
    <t>Applies to</t>
  </si>
  <si>
    <t>Upside</t>
  </si>
  <si>
    <t>Downside</t>
  </si>
  <si>
    <t>Live</t>
  </si>
  <si>
    <t>Historical reference</t>
  </si>
  <si>
    <t>Reference basis</t>
  </si>
  <si>
    <t>Rationale</t>
  </si>
  <si>
    <t>A01</t>
  </si>
  <si>
    <t>Net interest income: H2 2026 vs H1 2026</t>
  </si>
  <si>
    <t>H2 2026E</t>
  </si>
  <si>
    <t>Average H2-vs-H1 uplift, 2023-2025</t>
  </si>
  <si>
    <t>History averages about +4%. Base rounds this down. Company outlook (S08): NII above EUR 11bn for 2026.</t>
  </si>
  <si>
    <t>A02</t>
  </si>
  <si>
    <t>Net fee and commission income: H2 2026 vs H1 2026</t>
  </si>
  <si>
    <t>Fees are seasonally stronger in H2 in each of the last three years. Company outlook: about EUR 4bn for 2026.</t>
  </si>
  <si>
    <t>A03</t>
  </si>
  <si>
    <t>Trading and fair value result, H2 2026</t>
  </si>
  <si>
    <t>H2 2025 actual (before Poland)</t>
  </si>
  <si>
    <t>Volatile valuation-driven line, so an absolute amount is used instead of a growth rate. Poland added about EUR 84m per quarter in H1 2026.</t>
  </si>
  <si>
    <t>A04</t>
  </si>
  <si>
    <t>Other operating income (dividends, equity method, rental), H2 2026</t>
  </si>
  <si>
    <t>Dividend income is concentrated in Q2, so H2 is below H1.</t>
  </si>
  <si>
    <t>A05</t>
  </si>
  <si>
    <t>Operating expenses: H2 2026 vs H1 2026</t>
  </si>
  <si>
    <t>History averages about +5.5%. Base is lower because H1 2026 already carries full-year deposit insurance contributions (EUR 51m). Company outlook: about EUR 7bn.</t>
  </si>
  <si>
    <t>A06</t>
  </si>
  <si>
    <t>Gross customer loans: growth Dec 2026 vs Jun 2026</t>
  </si>
  <si>
    <t>Dec 2025 vs Jun 2025</t>
  </si>
  <si>
    <t>Company outlook: loan growth of 6-8% for the year in the seven pre-acquisition markets.</t>
  </si>
  <si>
    <t>A07</t>
  </si>
  <si>
    <t>Risk cost, H2 2026 (annualised, on average gross customer loans)</t>
  </si>
  <si>
    <t>bp</t>
  </si>
  <si>
    <t>H2 2025 actual</t>
  </si>
  <si>
    <t>Company outlook: 25-30 bp for the combined group, excluding the EUR 302m one-off. Downside reflects a credit-cycle turn.</t>
  </si>
  <si>
    <t>A08</t>
  </si>
  <si>
    <t>Other operating result, H2 2026</t>
  </si>
  <si>
    <t>H2 2025 actual (includes positive one-offs)</t>
  </si>
  <si>
    <t>Mostly banking levies. H1 2026 levies were EUR 392m, of which EUR 121m was Hungarian banking tax booked upfront for the full year.</t>
  </si>
  <si>
    <t>A09</t>
  </si>
  <si>
    <t>Derecognition gains/losses, H2 2026</t>
  </si>
  <si>
    <t>Small and irregular line.</t>
  </si>
  <si>
    <t>A10</t>
  </si>
  <si>
    <t>Tax rate, H2 2026 (taxes on income / pre-tax result)</t>
  </si>
  <si>
    <t>H1 2026 actual</t>
  </si>
  <si>
    <t>The tax rate rose with the consolidation of Poland.</t>
  </si>
  <si>
    <t>A11</t>
  </si>
  <si>
    <t>Non-controlling interests: share of net result, H2 2026</t>
  </si>
  <si>
    <t>Q2 2026 actual</t>
  </si>
  <si>
    <t>Structural: 51% of Erste Bank Polska and the Austrian savings banks belong to other owners. Held equal across scenarios.</t>
  </si>
  <si>
    <t>B01</t>
  </si>
  <si>
    <t>Net interest income: FY2027 vs FY2026</t>
  </si>
  <si>
    <t>FY2027E</t>
  </si>
  <si>
    <t>FY2025 growth</t>
  </si>
  <si>
    <t>Base assumes loan growth with stable margins. Downside assumes margin compression from lower rates.</t>
  </si>
  <si>
    <t>B02</t>
  </si>
  <si>
    <t>Net fee and commission income: FY2027 vs FY2026</t>
  </si>
  <si>
    <t>Fee growth was 8.6% in FY2025.</t>
  </si>
  <si>
    <t>B03</t>
  </si>
  <si>
    <t>Trading and fair value result, FY2027</t>
  </si>
  <si>
    <t>FY2026E, selected scenario</t>
  </si>
  <si>
    <t>Absolute amount; see A03.</t>
  </si>
  <si>
    <t>B04</t>
  </si>
  <si>
    <t>Other operating income, FY2027</t>
  </si>
  <si>
    <t>Broadly stable.</t>
  </si>
  <si>
    <t>B05</t>
  </si>
  <si>
    <t>Operating expenses: FY2027 vs FY2026</t>
  </si>
  <si>
    <t>2026 contains integration costs (up to EUR 180m) and a EUR 30m brand write-off that should not recur, partly offsetting wage inflation.</t>
  </si>
  <si>
    <t>B06</t>
  </si>
  <si>
    <t>Gross customer loans: growth Dec 2027 vs Dec 2026</t>
  </si>
  <si>
    <t>FY2025 growth was about 6%.</t>
  </si>
  <si>
    <t>B07</t>
  </si>
  <si>
    <t>Risk cost, FY2027 (on average gross customer loans)</t>
  </si>
  <si>
    <t>FY2025 actual</t>
  </si>
  <si>
    <t>Downside is roughly three times the FY2025 level.</t>
  </si>
  <si>
    <t>B08</t>
  </si>
  <si>
    <t>Other operating result, FY2027</t>
  </si>
  <si>
    <t>Full-year banking levies including Poland; FY2026E also contains a EUR 116m disposal gain that is not repeated.</t>
  </si>
  <si>
    <t>B09</t>
  </si>
  <si>
    <t>Derecognition gains/losses, FY2027</t>
  </si>
  <si>
    <t>B10</t>
  </si>
  <si>
    <t>Tax rate, FY2027</t>
  </si>
  <si>
    <t>See A10.</t>
  </si>
  <si>
    <t>B11</t>
  </si>
  <si>
    <t>Non-controlling interests: share of net result, FY2027</t>
  </si>
  <si>
    <t>See A11.</t>
  </si>
  <si>
    <t>Table tblPlan - ILLUSTRATIVE FY2026 plan. Synthetic: built by the analyst from the public outlook of 26 February 2026. It is NOT Erste Group's internal budget.</t>
  </si>
  <si>
    <t>Plan line</t>
  </si>
  <si>
    <t>FY2026 plan</t>
  </si>
  <si>
    <t>H1 phasing</t>
  </si>
  <si>
    <t>Historical H1 share</t>
  </si>
  <si>
    <t>Basis</t>
  </si>
  <si>
    <t>P01</t>
  </si>
  <si>
    <t>Company outlook of 26 Feb 2026 (S09): 'in excess of EUR 11 billion'. Point value set at the threshold.</t>
  </si>
  <si>
    <t>P02</t>
  </si>
  <si>
    <t>Company outlook of 26 Feb 2026 (S09): 'approx. EUR 4 billion'.</t>
  </si>
  <si>
    <t>P03</t>
  </si>
  <si>
    <t>Trading and fair value result</t>
  </si>
  <si>
    <t>Outlook: 'similar contribution as in 2025' for the seven existing markets. FY2025 actual used. Poland not quantified in the outlook, so NOT included.</t>
  </si>
  <si>
    <t>P04</t>
  </si>
  <si>
    <t>Other operating income</t>
  </si>
  <si>
    <t>Analyst assumption: FY2025 actual level.</t>
  </si>
  <si>
    <t>P05</t>
  </si>
  <si>
    <t>Company outlook of 26 Feb 2026 (S09): 'about EUR 7 billion'.</t>
  </si>
  <si>
    <t>P06</t>
  </si>
  <si>
    <t>Risk cost, recurring (on plan average gross loans)</t>
  </si>
  <si>
    <t>Outlook: 25-30 bp excluding the one-off. Midpoint used. Phasing: even.</t>
  </si>
  <si>
    <t>P07</t>
  </si>
  <si>
    <t>Plan average gross customer loans</t>
  </si>
  <si>
    <t>Analyst assumption: between the combined opening portfolio and the year-end target implied by the outlook.</t>
  </si>
  <si>
    <t>P08</t>
  </si>
  <si>
    <t>First-time-consolidation ECL charge (one-off)</t>
  </si>
  <si>
    <t>Outlook: 'EUR 300 million charge' on first-time consolidation. Fully phased into H1.</t>
  </si>
  <si>
    <t>P09</t>
  </si>
  <si>
    <t>Analyst assumption: outlook says the line should be 'more in line with banking levies'. Front-loaded because some levies are booked upfront.</t>
  </si>
  <si>
    <t>P10</t>
  </si>
  <si>
    <t>Derecognition gains/losses</t>
  </si>
  <si>
    <t>Analyst assumption: nil.</t>
  </si>
  <si>
    <t>P11</t>
  </si>
  <si>
    <t>Analyst assumption, calibrated so plan net profit is consistent with the outlook 'somewhat below EUR 4 billion'.</t>
  </si>
  <si>
    <t>P12</t>
  </si>
  <si>
    <t>Non-controlling interests: share of net result</t>
  </si>
  <si>
    <t>Analyst assumption, calibrated as above.</t>
  </si>
  <si>
    <t>Other model parameters</t>
  </si>
  <si>
    <t>Minimum absolute base for a % variance (EUR m). Below this, or if the sign changes, the model shows n.m. (not meaningful).</t>
  </si>
  <si>
    <t>Sensitivity grid - change in FY2027E operating income</t>
  </si>
  <si>
    <t>Sensitivity grid - increase in FY2027E risk cost (bp, added to the selected scenario)</t>
  </si>
  <si>
    <t>Forecast - actual timeline and selected-scenario forecast</t>
  </si>
  <si>
    <t>EUR million. Columns C-H are sums of reported quarters (tblQ). Columns I-K are the forecast for the scenario selected on the Assumptions sheet. FY2026E = H1 2026 actual + H2 2026 forecast; interim figures are never annualised into annual results.</t>
  </si>
  <si>
    <t>DATA TYPE: C-H: DERIVED from reported actuals (formulas). I-K: FORECAST from analyst assumptions - not company guidance, not investment advice.</t>
  </si>
  <si>
    <t>FY2023A</t>
  </si>
  <si>
    <t>FY2024A</t>
  </si>
  <si>
    <t>FY2025A</t>
  </si>
  <si>
    <t>H1 2025A</t>
  </si>
  <si>
    <t>H2 2025A</t>
  </si>
  <si>
    <t>H1 2026A</t>
  </si>
  <si>
    <t>FY2026E</t>
  </si>
  <si>
    <t>Forecast method (columns I-K)</t>
  </si>
  <si>
    <t>Income statement</t>
  </si>
  <si>
    <t>H2: H1 2026 actual x (1 + A01). FY2027: FY2026E x (1 + B01).</t>
  </si>
  <si>
    <t>H2: H1 2026 actual x (1 + A02). FY2027: FY2026E x (1 + B02).</t>
  </si>
  <si>
    <t>TFV</t>
  </si>
  <si>
    <t>Absolute EUR amounts A03 / B03 (volatile line).</t>
  </si>
  <si>
    <t>OTH_INC</t>
  </si>
  <si>
    <t>Other operating income (dividends, equity method, rental)</t>
  </si>
  <si>
    <t>Absolute EUR amounts A04 / B04.</t>
  </si>
  <si>
    <t>OP_INCOME</t>
  </si>
  <si>
    <t>Sum of the four income lines.</t>
  </si>
  <si>
    <t>H2: H1 2026 actual x (1 + A05). FY2027: FY2026E x (1 + B05).</t>
  </si>
  <si>
    <t>OP_RESULT</t>
  </si>
  <si>
    <t>Operating income + operating expenses.</t>
  </si>
  <si>
    <t>Impairment result from financial instruments (risk costs)</t>
  </si>
  <si>
    <t>- risk cost (bp, A07 / B07) x average gross customer loans / annualisation factor.</t>
  </si>
  <si>
    <t>Other operating result (incl. banking levies)</t>
  </si>
  <si>
    <t>Absolute EUR amounts A08 / B08.</t>
  </si>
  <si>
    <t>DEREC</t>
  </si>
  <si>
    <t>Derecognition gains/losses (net)</t>
  </si>
  <si>
    <t>Absolute EUR amounts A09 / B09.</t>
  </si>
  <si>
    <t>Operating result + impairment + other operating result + derecognition.</t>
  </si>
  <si>
    <t>- pre-tax result x tax rate (A10 / B10); no tax credit is modelled on a loss.</t>
  </si>
  <si>
    <t>Pre-tax result + taxes.</t>
  </si>
  <si>
    <t>Attributable to non-controlling interests (shown as a deduction)</t>
  </si>
  <si>
    <t>- net result x minority share (A11 / B11).</t>
  </si>
  <si>
    <t>Net profit attributable to owners of the parent</t>
  </si>
  <si>
    <t>Net result less non-controlling interests.</t>
  </si>
  <si>
    <t>Key performance indicators (calculated - see KPI_Definitions)</t>
  </si>
  <si>
    <t>Gross customer loans, end of period (EUR m)</t>
  </si>
  <si>
    <t>Average gross customer loans (EUR m)</t>
  </si>
  <si>
    <t>Actuals: average of quarter-end balances incl. the opening balance (Erste's method). FY2023: n/a, opening balance not in the downloaded files. Forecast: average of opening and closing balance.</t>
  </si>
  <si>
    <t>Risk cost (bp of average gross customer loans, annualised)</t>
  </si>
  <si>
    <t>Annualisation factor (1 = full year, 2 = half-year)</t>
  </si>
  <si>
    <t>Operating income growth vs comparable prior period</t>
  </si>
  <si>
    <t>Comparators: FY vs prior FY; H1 2026 vs H1 2025; H2 2026E vs H2 2025; n/a where the comparator is outside the dataset.</t>
  </si>
  <si>
    <t>Operating expense growth vs comparable prior period</t>
  </si>
  <si>
    <t>Jaws: income growth minus cost growth (percentage points)</t>
  </si>
  <si>
    <t>Net profit growth vs comparable prior period</t>
  </si>
  <si>
    <t>Reported KPIs (as published by Erste Group - not recalculated, not forecast)</t>
  </si>
  <si>
    <t>Reported cost/income ratio</t>
  </si>
  <si>
    <t>not forecast</t>
  </si>
  <si>
    <t>Reported provisioning ratio (risk cost on average gross customer loans)</t>
  </si>
  <si>
    <t>Reported return on tangible equity (ROTE)</t>
  </si>
  <si>
    <t>ROTE and CET1 are not forecast: that needs a capital plan (dividends, buybacks, risk-weighted assets) that this model does not contain.</t>
  </si>
  <si>
    <t>Reported CET1 ratio (CRR, phased-in), end of period</t>
  </si>
  <si>
    <t>Reported net interest margin</t>
  </si>
  <si>
    <t>Seasonality reference (derived from reported quarters) - used only as a comparison for the assumptions</t>
  </si>
  <si>
    <t>H1 2023</t>
  </si>
  <si>
    <t>H2 2023</t>
  </si>
  <si>
    <t>H1 2024</t>
  </si>
  <si>
    <t>H2 2024</t>
  </si>
  <si>
    <t>H2 2025</t>
  </si>
  <si>
    <t>Avg H2 vs H1</t>
  </si>
  <si>
    <t>Avg H1 share of FY</t>
  </si>
  <si>
    <t>n.m. = not meaningful: a half-year changed sign or was zero, so a ratio would mislead.</t>
  </si>
  <si>
    <t>Scenarios - base, upside and downside side by side, with sensitivities</t>
  </si>
  <si>
    <t>EUR million. Every scenario is calculated here in full from its own column of tblAssump, so all three are visible at once. The sensitivity blocks use the scenario selected on the Assumptions sheet.</t>
  </si>
  <si>
    <t>DATA TYPE: FORECAST from analyst assumptions - illustrative scenarios, not company guidance and not investment advice.</t>
  </si>
  <si>
    <t>Key performance indicators</t>
  </si>
  <si>
    <t>Scenario summary</t>
  </si>
  <si>
    <t>Metric</t>
  </si>
  <si>
    <t>Upside vs base</t>
  </si>
  <si>
    <t>Downside vs base</t>
  </si>
  <si>
    <t>Downside vs base %</t>
  </si>
  <si>
    <t>Net profit attributable, FY2026E</t>
  </si>
  <si>
    <t>Differences for ratios are shown in basis points (CIR) or bp of loans (risk cost).</t>
  </si>
  <si>
    <t>Net profit attributable, FY2027E</t>
  </si>
  <si>
    <t>Operating result, FY2026E</t>
  </si>
  <si>
    <t>Operating result, FY2027E</t>
  </si>
  <si>
    <t>Risk costs (impairment result), FY2027E</t>
  </si>
  <si>
    <t>Cost/income ratio, FY2026E</t>
  </si>
  <si>
    <t>Cost/income ratio, FY2027E</t>
  </si>
  <si>
    <t>Risk cost in bp, FY2027E</t>
  </si>
  <si>
    <t>Operating income change  \  added risk cost (bp)</t>
  </si>
  <si>
    <t>Grid logic: costs, other operating result, tax rate and minority share stay as in the selected scenario; only income and risk cost move. The top-left cell must equal Forecast FY2027E net profit (see Checks).</t>
  </si>
  <si>
    <t>Change</t>
  </si>
  <si>
    <t>Effect on net profit (EUR m)</t>
  </si>
  <si>
    <t>Effect in % of net profit</t>
  </si>
  <si>
    <t>Operating income 1% lower</t>
  </si>
  <si>
    <t>Operating expenses 1% higher</t>
  </si>
  <si>
    <t>Risk cost 10 bp higher</t>
  </si>
  <si>
    <t>Net interest income 1% lower</t>
  </si>
  <si>
    <t>Tax rate 1 percentage point higher</t>
  </si>
  <si>
    <t>Model FY2026E compared with the company outlook of 30 July 2026 (S08). Information only - the model is NOT calibrated to the outlook.</t>
  </si>
  <si>
    <t>Company outlook (text, S08 p.3)</t>
  </si>
  <si>
    <t>Net interest income (EUR m)</t>
  </si>
  <si>
    <t>in excess of EUR 11 billion</t>
  </si>
  <si>
    <t>Net fee and commission income (EUR m)</t>
  </si>
  <si>
    <t>approx. EUR 4 billion</t>
  </si>
  <si>
    <t>Operating expenses (EUR m)</t>
  </si>
  <si>
    <t>about EUR 7 billion (FX-adjusted)</t>
  </si>
  <si>
    <t>less than 45%</t>
  </si>
  <si>
    <t>Risk cost excl. EUR 302m one-off (bp)</t>
  </si>
  <si>
    <t>25-30 basis points, adjusted for the one-off</t>
  </si>
  <si>
    <t>Net profit attributable (EUR m)</t>
  </si>
  <si>
    <t>above EUR 4 billion (reported)</t>
  </si>
  <si>
    <t>Variance analysis - actual vs prior year and actual vs illustrative plan</t>
  </si>
  <si>
    <t>EUR million. Variance = current minus comparator on signed values (expenses are negative), so a positive variance always raises profit. F = favourable, U = unfavourable, '-' = below EUR 0.5m. n.m. = % not meaningful (small base or sign change).</t>
  </si>
  <si>
    <t>DATA TYPE: DERIVED from reported actuals. Block F compares actuals with an ILLUSTRATIVE, SYNTHETIC plan - not Erste's internal budget.</t>
  </si>
  <si>
    <t>A. FY2025 actual vs FY2024 actual</t>
  </si>
  <si>
    <t>Variance</t>
  </si>
  <si>
    <t>Variance %</t>
  </si>
  <si>
    <t>F/U</t>
  </si>
  <si>
    <t>Cost/income ratio (variance in percentage points)</t>
  </si>
  <si>
    <t>Risk cost in bp (variance in bp)</t>
  </si>
  <si>
    <t>B. FY2024 actual vs FY2023 actual</t>
  </si>
  <si>
    <t>C. H1 2026 actual vs H1 2025 actual - AS REPORTED (H1 2026 includes Erste Bank Polska, H1 2025 does not)</t>
  </si>
  <si>
    <t>D. H1 2026 excluding the Poland segment vs H1 2025 - like-for-like perimeter (derived: group minus reported Poland segment)</t>
  </si>
  <si>
    <t>Group H1 2026A</t>
  </si>
  <si>
    <t>Poland segment H1 2026</t>
  </si>
  <si>
    <t>Group excl. Poland</t>
  </si>
  <si>
    <t>Limits: the Poland segment carries the purchase-price-allocation amortisation, but the interest income Erste no longer earns on the EUR 7.0bn purchase price sits in the other segments. 'Excl. Poland' is therefore close to, not identical with, an organic view.</t>
  </si>
  <si>
    <t>E. Comparability: reported vs adjusted for company-disclosed one-off items (amounts from tblDisclosed; no undisclosed adjustments)</t>
  </si>
  <si>
    <t>Reported</t>
  </si>
  <si>
    <t>Disclosed one-off</t>
  </si>
  <si>
    <t>Adjusted</t>
  </si>
  <si>
    <t>Comment</t>
  </si>
  <si>
    <t>H1 2026 impairment result</t>
  </si>
  <si>
    <t>First-time-consolidation ECL charge on the Polish portfolio (IFRS 9); not a sign of deterioration per the company.</t>
  </si>
  <si>
    <t>H1 2026 risk cost in bp (annualised)</t>
  </si>
  <si>
    <t>Reported ratio less the one-off expressed in bp.</t>
  </si>
  <si>
    <t>H1 2026 operating expenses</t>
  </si>
  <si>
    <t>Integration costs booked in H1 2026.</t>
  </si>
  <si>
    <t>H1 2026 other operating result</t>
  </si>
  <si>
    <t>Gain on the sale of a Croatian subsidiary.</t>
  </si>
  <si>
    <t>FY2025 other operating result</t>
  </si>
  <si>
    <t>Company-stated total of positive one-offs, 'approximately EUR 270 million'.</t>
  </si>
  <si>
    <t>FY2025 operating expenses</t>
  </si>
  <si>
    <t>Acquisition-related costs recognised in 2025.</t>
  </si>
  <si>
    <t>FY2025 net profit attributable</t>
  </si>
  <si>
    <t>After-tax one-offs as stated by the company; adjusted figure is the company's own EPS baseline before the AT1 dividend.</t>
  </si>
  <si>
    <t>H1 2026 cost/income ratio excluding integration costs</t>
  </si>
  <si>
    <t>F. H1 2026 actual vs ILLUSTRATIVE plan (synthetic plan from tblPlan: public outlook of 26 Feb 2026, phased with historical seasonality). NOT Erste's internal budget.</t>
  </si>
  <si>
    <t>Plan FY2026</t>
  </si>
  <si>
    <t>Plan H1 2026</t>
  </si>
  <si>
    <t>Actual H1 2026</t>
  </si>
  <si>
    <t>Erste Group - financial performance and forecast dashboard</t>
  </si>
  <si>
    <t>All figures and charts on this sheet are formula-driven from the other sheets. EUR million unless stated.</t>
  </si>
  <si>
    <t>DATA TYPE: MIXED - reported actuals (A), derived KPIs and analyst FORECASTS (E). Forecasts are illustrative, not company guidance, not investment advice.</t>
  </si>
  <si>
    <t>H1 2026 net profit attributable</t>
  </si>
  <si>
    <t>H1 2026 cost/income ratio</t>
  </si>
  <si>
    <t>H1 2026 risk cost (bp)</t>
  </si>
  <si>
    <t>FY2026E net profit attributable</t>
  </si>
  <si>
    <t>FY2027E net profit attributable</t>
  </si>
  <si>
    <t>Reported ROTE, H1 2026</t>
  </si>
  <si>
    <t>vs H1 2025:</t>
  </si>
  <si>
    <t>H1 2025:</t>
  </si>
  <si>
    <t>excl. one-off (bp):</t>
  </si>
  <si>
    <t>vs FY2025:</t>
  </si>
  <si>
    <t>vs FY2026E:</t>
  </si>
  <si>
    <t>CET1, Jun 26:</t>
  </si>
  <si>
    <t>Reading guide</t>
  </si>
  <si>
    <t>A = reported actual (derived from Erste Group's published quarterly data). E = analyst forecast for the scenario shown above.</t>
  </si>
  <si>
    <t>The illustrative plan is synthetic: it is built from the public outlook of 26 February 2026 and is NOT Erste Group's internal budget.</t>
  </si>
  <si>
    <t>H1 2026 includes Erste Bank Polska (consolidated from 1 January 2026); earlier periods do not. See Variance_Analysis block D for the like-for-like view.</t>
  </si>
  <si>
    <t>Change the scenario in Assumptions!C4. Check the Checks sheet after any change.</t>
  </si>
  <si>
    <t>Chart data (formula-driven - do not overwrite)</t>
  </si>
  <si>
    <t>Series</t>
  </si>
  <si>
    <t>Net profit attributable</t>
  </si>
  <si>
    <t>Growth vs prior period</t>
  </si>
  <si>
    <t>H1 2026 reported</t>
  </si>
  <si>
    <t>H1 2026 excl. Poland</t>
  </si>
  <si>
    <t>Operating income growth</t>
  </si>
  <si>
    <t>Operating expense growth</t>
  </si>
  <si>
    <t>H1 2025 actual</t>
  </si>
  <si>
    <t>Illustrative plan</t>
  </si>
  <si>
    <t>Checks - automated reconciliations and integrity tests</t>
  </si>
  <si>
    <t>Status = PASS when |A - B| &lt;= tolerance. Helper blocks below the table show the detail behind count-type checks.</t>
  </si>
  <si>
    <t>DATA TYPE: CONTROLS - formulas only. A PASS here is only meaningful after Excel has recalculated the workbook.</t>
  </si>
  <si>
    <t>Overall status</t>
  </si>
  <si>
    <t>Category</t>
  </si>
  <si>
    <t>Check</t>
  </si>
  <si>
    <t>A (model)</t>
  </si>
  <si>
    <t>B (reference)</t>
  </si>
  <si>
    <t>Difference</t>
  </si>
  <si>
    <t>Tolerance</t>
  </si>
  <si>
    <t>Status</t>
  </si>
  <si>
    <t>C01</t>
  </si>
  <si>
    <t>Source reconciliation</t>
  </si>
  <si>
    <t>FY2023: number of the 13 statement lines where the model differs from the published statement by more than rounding</t>
  </si>
  <si>
    <t>Quarterly sums are unrounded; published statements are rounded to EUR 1m. See helper 1.</t>
  </si>
  <si>
    <t>C02</t>
  </si>
  <si>
    <t>FY2024: number of the 13 statement lines where the model differs from the published statement by more than rounding</t>
  </si>
  <si>
    <t>C03</t>
  </si>
  <si>
    <t>FY2025: number of the 13 statement lines where the model differs from the published statement by more than rounding</t>
  </si>
  <si>
    <t>C04</t>
  </si>
  <si>
    <t>H1 2025: number of the 13 statement lines where the model differs from the published statement by more than rounding</t>
  </si>
  <si>
    <t>C05</t>
  </si>
  <si>
    <t>H1 2026: number of the 13 statement lines where the model differs from the published statement by more than rounding</t>
  </si>
  <si>
    <t>C06</t>
  </si>
  <si>
    <t>Statement arithmetic</t>
  </si>
  <si>
    <t>Operating income minus sum of its seven components - quarters with a difference</t>
  </si>
  <si>
    <t>14 reported quarters. See helper 2.</t>
  </si>
  <si>
    <t>C07</t>
  </si>
  <si>
    <t>Operating expenses minus personnel, other administrative, depreciation - quarters with a difference</t>
  </si>
  <si>
    <t>C08</t>
  </si>
  <si>
    <t>Operating result minus (operating income + operating expenses) - quarters with a difference</t>
  </si>
  <si>
    <t>C09</t>
  </si>
  <si>
    <t>Pre-tax result minus (operating result + derecognition + impairment + other operating result) - quarters with a difference</t>
  </si>
  <si>
    <t>C10</t>
  </si>
  <si>
    <t>Net result minus (pre-tax result + taxes) - quarters with a difference</t>
  </si>
  <si>
    <t>C11</t>
  </si>
  <si>
    <t>Net result minus (owners + non-controlling interests) - quarters with a difference</t>
  </si>
  <si>
    <t>C12</t>
  </si>
  <si>
    <t>Total assets minus total liabilities and equity - quarters with a difference</t>
  </si>
  <si>
    <t>C13</t>
  </si>
  <si>
    <t>KPI recalculation</t>
  </si>
  <si>
    <t>Cost/income ratio FY2023: model vs reported</t>
  </si>
  <si>
    <t>Company definition: operating expenses / operating income.</t>
  </si>
  <si>
    <t>C14</t>
  </si>
  <si>
    <t>Cost/income ratio FY2024: model vs reported</t>
  </si>
  <si>
    <t>C15</t>
  </si>
  <si>
    <t>Cost/income ratio FY2025: model vs reported</t>
  </si>
  <si>
    <t>C16</t>
  </si>
  <si>
    <t>Cost/income ratio H1 2025: model vs reported</t>
  </si>
  <si>
    <t>C17</t>
  </si>
  <si>
    <t>Cost/income ratio H1 2026: model vs reported</t>
  </si>
  <si>
    <t>C18</t>
  </si>
  <si>
    <t>Risk cost FY2024 in bp: model vs reported provisioning ratio</t>
  </si>
  <si>
    <t>Reported ratio is rounded to whole basis points.</t>
  </si>
  <si>
    <t>C19</t>
  </si>
  <si>
    <t>Risk cost FY2025 in bp: model vs reported provisioning ratio</t>
  </si>
  <si>
    <t>C20</t>
  </si>
  <si>
    <t>Risk cost H1 2025 in bp: model vs reported provisioning ratio</t>
  </si>
  <si>
    <t>C21</t>
  </si>
  <si>
    <t>Risk cost H1 2026 in bp: model vs reported provisioning ratio</t>
  </si>
  <si>
    <t>C22</t>
  </si>
  <si>
    <t>Tax rate FY2023: model vs reported</t>
  </si>
  <si>
    <t>Taxes on income / pre-tax result.</t>
  </si>
  <si>
    <t>C23</t>
  </si>
  <si>
    <t>Tax rate FY2024: model vs reported</t>
  </si>
  <si>
    <t>C24</t>
  </si>
  <si>
    <t>Tax rate FY2025: model vs reported</t>
  </si>
  <si>
    <t>C25</t>
  </si>
  <si>
    <t>Tax rate H1 2026: model vs reported</t>
  </si>
  <si>
    <t>C26</t>
  </si>
  <si>
    <t>ROTE FY2024: approximate recalculation vs reported</t>
  </si>
  <si>
    <t>Approximate by design: tolerance 0.5 percentage points. See helper 3.</t>
  </si>
  <si>
    <t>C27</t>
  </si>
  <si>
    <t>ROTE FY2025: approximate recalculation vs reported</t>
  </si>
  <si>
    <t>C28</t>
  </si>
  <si>
    <t>ROTE H1 2025: approximate recalculation vs reported</t>
  </si>
  <si>
    <t>C29</t>
  </si>
  <si>
    <t>ROTE H1 2026: approximate recalculation vs reported</t>
  </si>
  <si>
    <t>C30</t>
  </si>
  <si>
    <t>Perimeter (Poland)</t>
  </si>
  <si>
    <t>Poland segment H1 2026 operating income vs amount stated in the results release</t>
  </si>
  <si>
    <t>Release figure is rounded.</t>
  </si>
  <si>
    <t>C31</t>
  </si>
  <si>
    <t>Poland segment H1 2026 net interest income vs release</t>
  </si>
  <si>
    <t>C32</t>
  </si>
  <si>
    <t>Poland segment H1 2026 operating expenses vs release</t>
  </si>
  <si>
    <t>C33</t>
  </si>
  <si>
    <t>Poland segment pre-tax result: bottom-up in Variance_Analysis vs reported segment line</t>
  </si>
  <si>
    <t>C34</t>
  </si>
  <si>
    <t>Net interest income growth excluding Poland vs CEO letter (+6.1%)</t>
  </si>
  <si>
    <t>Confirms that 'group minus Poland segment' matches the company's own ex-acquisition view.</t>
  </si>
  <si>
    <t>C35</t>
  </si>
  <si>
    <t>Net fee and commission income growth excluding Poland vs CEO letter (+8.8%)</t>
  </si>
  <si>
    <t>C36</t>
  </si>
  <si>
    <t>Forecast integrity</t>
  </si>
  <si>
    <t>FY2026E = H1 2026 actual + H2 2026 forecast: number of income statement lines that do not add up</t>
  </si>
  <si>
    <t>Interim actuals are added, never annualised.</t>
  </si>
  <si>
    <t>C37</t>
  </si>
  <si>
    <t>Forecast FY2026E net profit equals the selected scenario on the Scenarios sheet</t>
  </si>
  <si>
    <t>C38</t>
  </si>
  <si>
    <t>Forecast FY2027E net profit equals the selected scenario on the Scenarios sheet</t>
  </si>
  <si>
    <t>C39</t>
  </si>
  <si>
    <t>Scenario ordering FY2027E net profit: downside &lt;= base &lt;= upside (0 = in order)</t>
  </si>
  <si>
    <t>C40</t>
  </si>
  <si>
    <t>Sensitivity grid top-left cell equals Forecast FY2027E net profit (only when the first shock and first increment are zero)</t>
  </si>
  <si>
    <t>Fails by design if the first grid axis values are changed from 0.</t>
  </si>
  <si>
    <t>C41</t>
  </si>
  <si>
    <t>Scenarios with non-positive forecast operating income</t>
  </si>
  <si>
    <t>C42</t>
  </si>
  <si>
    <t>Tax-rate and minority-share inputs outside 0%-60%</t>
  </si>
  <si>
    <t>C43</t>
  </si>
  <si>
    <t>Scenario selector holds a valid name (1 = valid)</t>
  </si>
  <si>
    <t>C44</t>
  </si>
  <si>
    <t>Plan phasing inputs outside 0%-100%</t>
  </si>
  <si>
    <t>C45</t>
  </si>
  <si>
    <t>Plan H1 2026 operating income is below plan FY2026 operating income (1 = yes)</t>
  </si>
  <si>
    <t>C46</t>
  </si>
  <si>
    <t>Workbook hygiene</t>
  </si>
  <si>
    <t>Error values on Forecast</t>
  </si>
  <si>
    <t>C47</t>
  </si>
  <si>
    <t>Error values on Scenarios</t>
  </si>
  <si>
    <t>C48</t>
  </si>
  <si>
    <t>Error values on Variance_Analysis</t>
  </si>
  <si>
    <t>C49</t>
  </si>
  <si>
    <t>Error values on Dashboard</t>
  </si>
  <si>
    <t>Helper 1 - source-to-output reconciliation: model line (sum of unrounded quarters) minus as-reported rounded statement, EUR m</t>
  </si>
  <si>
    <t>Helper 2 - arithmetic of the reported quarterly statements (differences in EUR m; should be zero)</t>
  </si>
  <si>
    <t>Identity</t>
  </si>
  <si>
    <t>Operating income minus sum of its seven components</t>
  </si>
  <si>
    <t>Operating expenses minus personnel, other administrative, depreciation</t>
  </si>
  <si>
    <t>Operating result minus (operating income + operating expenses)</t>
  </si>
  <si>
    <t>Pre-tax result minus (operating result + derecognition + impairment + other operating result)</t>
  </si>
  <si>
    <t>Net result minus (pre-tax result + taxes)</t>
  </si>
  <si>
    <t>Net result minus (owners + non-controlling interests)</t>
  </si>
  <si>
    <t>Total assets minus total liabilities and equity</t>
  </si>
  <si>
    <t>Helper 3 - approximate recalculation of ROTE from published balances, using the company definition (S11). The company's exact averaging is not fully disclosed.</t>
  </si>
  <si>
    <t>Net profit attributable to owners (EUR m)</t>
  </si>
  <si>
    <t>Dividend on AT1 capital, after tax (EUR m)</t>
  </si>
  <si>
    <t>Annualisation factor</t>
  </si>
  <si>
    <t>Average equity attributable to owners (quarter-ends incl. opening)</t>
  </si>
  <si>
    <t>Average intangible assets</t>
  </si>
  <si>
    <t>Average tangible equity</t>
  </si>
  <si>
    <t>ROTE recalculated</t>
  </si>
  <si>
    <t>ROTE reported</t>
  </si>
  <si>
    <t>Difference (percentage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</si>
</sst>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Red]\-#,##0.0"/>
    <numFmt numFmtId="165" formatCode="#,##0;[Red]\-#,##0"/>
    <numFmt numFmtId="166" formatCode="0.0%;[Red]\-0.0%"/>
    <numFmt numFmtId="167" formatCode="0.0"/>
    <numFmt numFmtId="168" formatCode="0.000"/>
    <numFmt numFmtId="169" formatCode="#,##0.0000"/>
    <numFmt numFmtId="170" formatCode="0.0000"/>
    <numFmt numFmtId="171" formatCode="\+0.0%;\-0.0%"/>
  </numFmts>
  <fonts count="8" x14ac:knownFonts="1">
    <font>
      <sz val="11"/>
      <color theme="1"/>
      <name val="Calibri"/>
      <family val="2"/>
      <scheme val="minor"/>
    </font>
    <font>
      <b/>
      <sz val="14"/>
      <color rgb="FF1F3864"/>
      <name val="Calibri"/>
    </font>
    <font>
      <i/>
      <sz val="9"/>
      <color rgb="FF595959"/>
      <name val="Calibri"/>
    </font>
    <font>
      <b/>
      <sz val="10"/>
      <name val="Calibri"/>
    </font>
    <font>
      <b/>
      <sz val="10"/>
      <color rgb="FFFFFFFF"/>
      <name val="Calibri"/>
    </font>
    <font>
      <sz val="10"/>
      <name val="Calibri"/>
    </font>
    <font>
      <sz val="10"/>
      <color rgb="FF0000FF"/>
      <name val="Calibri"/>
    </font>
    <font>
      <b/>
      <sz val="16"/>
      <color rgb="FF1F3864"/>
      <name val="Calibri"/>
    </font>
  </fonts>
  <fills count="7">
    <fill>
      <patternFill patternType="none"/>
    </fill>
    <fill>
      <patternFill patternType="gray125"/>
    </fill>
    <fill>
      <patternFill patternType="solid">
        <fgColor rgb="FFDDEBF7"/>
      </patternFill>
    </fill>
    <fill>
      <patternFill patternType="solid">
        <fgColor rgb="FF1F3864"/>
      </patternFill>
    </fill>
    <fill>
      <patternFill patternType="solid">
        <fgColor rgb="FFFFF2CC"/>
      </patternFill>
    </fill>
    <fill>
      <patternFill patternType="solid">
        <fgColor rgb="FFC55A11"/>
      </patternFill>
    </fill>
    <fill>
      <patternFill patternType="solid">
        <fgColor rgb="FFF2F2F2"/>
      </patternFill>
    </fill>
  </fills>
  <borders count="2">
    <border>
      <left/>
      <right/>
      <top/>
      <bottom/>
      <diagonal/>
    </border>
    <border>
      <left/>
      <right/>
      <top style="thin">
        <color rgb="FFBFBFBF"/>
      </top>
      <bottom/>
      <diagonal/>
    </border>
  </borders>
  <cellStyleXfs count="1">
    <xf numFmtId="0" fontId="0" fillId="0" borderId="0"/>
  </cellStyleXfs>
  <cellXfs count="49">
    <xf numFmtId="0" fontId="0" fillId="0" borderId="0" xfId="0"/>
    <xf numFmtId="0" fontId="1" fillId="0" borderId="0" xfId="0" applyFont="1"/>
    <xf numFmtId="0" fontId="2" fillId="0" borderId="0" xfId="0" applyFont="1"/>
    <xf numFmtId="0" fontId="3" fillId="2" borderId="0" xfId="0" applyFont="1" applyFill="1"/>
    <xf numFmtId="0" fontId="3" fillId="0" borderId="0" xfId="0" applyFont="1"/>
    <xf numFmtId="0" fontId="3" fillId="0" borderId="0" xfId="0" applyFont="1" applyAlignment="1">
      <alignment vertical="top" wrapText="1"/>
    </xf>
    <xf numFmtId="0" fontId="5" fillId="0" borderId="0" xfId="0" applyFont="1" applyAlignment="1">
      <alignment vertical="top" wrapText="1"/>
    </xf>
    <xf numFmtId="0" fontId="4" fillId="3" borderId="0" xfId="0" applyFont="1" applyFill="1" applyAlignment="1">
      <alignment horizontal="center" vertical="center" wrapText="1"/>
    </xf>
    <xf numFmtId="0" fontId="5" fillId="0" borderId="0" xfId="0" applyFont="1"/>
    <xf numFmtId="164" fontId="6" fillId="0" borderId="0" xfId="0" applyNumberFormat="1" applyFont="1"/>
    <xf numFmtId="10" fontId="6" fillId="0" borderId="0" xfId="0" applyNumberFormat="1" applyFont="1"/>
    <xf numFmtId="165" fontId="6" fillId="0" borderId="0" xfId="0" applyNumberFormat="1" applyFont="1"/>
    <xf numFmtId="2" fontId="6" fillId="0" borderId="0" xfId="0" applyNumberFormat="1" applyFont="1"/>
    <xf numFmtId="166" fontId="6" fillId="0" borderId="0" xfId="0" applyNumberFormat="1" applyFont="1"/>
    <xf numFmtId="0" fontId="6" fillId="4" borderId="0" xfId="0" applyFont="1" applyFill="1" applyAlignment="1">
      <alignment horizontal="center" vertical="center" wrapText="1"/>
    </xf>
    <xf numFmtId="166" fontId="6" fillId="4" borderId="0" xfId="0" applyNumberFormat="1" applyFont="1" applyFill="1"/>
    <xf numFmtId="166" fontId="3" fillId="0" borderId="0" xfId="0" applyNumberFormat="1" applyFont="1"/>
    <xf numFmtId="166" fontId="5" fillId="0" borderId="0" xfId="0" applyNumberFormat="1" applyFont="1"/>
    <xf numFmtId="165" fontId="6" fillId="4" borderId="0" xfId="0" applyNumberFormat="1" applyFont="1" applyFill="1"/>
    <xf numFmtId="165" fontId="3" fillId="0" borderId="0" xfId="0" applyNumberFormat="1" applyFont="1"/>
    <xf numFmtId="165" fontId="5" fillId="0" borderId="0" xfId="0" applyNumberFormat="1" applyFont="1"/>
    <xf numFmtId="167" fontId="6" fillId="4" borderId="0" xfId="0" applyNumberFormat="1" applyFont="1" applyFill="1"/>
    <xf numFmtId="167" fontId="3" fillId="0" borderId="0" xfId="0" applyNumberFormat="1" applyFont="1"/>
    <xf numFmtId="167" fontId="5" fillId="0" borderId="0" xfId="0" applyNumberFormat="1" applyFont="1"/>
    <xf numFmtId="0" fontId="4" fillId="5" borderId="0" xfId="0" applyFont="1" applyFill="1" applyAlignment="1">
      <alignment horizontal="center" vertical="center" wrapText="1"/>
    </xf>
    <xf numFmtId="0" fontId="3" fillId="6" borderId="0" xfId="0" applyFont="1" applyFill="1"/>
    <xf numFmtId="165" fontId="3" fillId="6" borderId="1" xfId="0" applyNumberFormat="1" applyFont="1" applyFill="1" applyBorder="1"/>
    <xf numFmtId="1" fontId="5" fillId="0" borderId="0" xfId="0" applyNumberFormat="1" applyFont="1"/>
    <xf numFmtId="10" fontId="5" fillId="0" borderId="0" xfId="0" applyNumberFormat="1" applyFont="1"/>
    <xf numFmtId="0" fontId="4" fillId="3" borderId="0" xfId="0" applyFont="1" applyFill="1"/>
    <xf numFmtId="167" fontId="4" fillId="3" borderId="0" xfId="0" applyNumberFormat="1" applyFont="1" applyFill="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horizontal="right"/>
    </xf>
    <xf numFmtId="171" fontId="2" fillId="0" borderId="0" xfId="0" applyNumberFormat="1" applyFont="1" applyAlignment="1">
      <alignment horizontal="left"/>
    </xf>
    <xf numFmtId="166" fontId="2" fillId="0" borderId="0" xfId="0" applyNumberFormat="1" applyFont="1" applyAlignment="1">
      <alignment horizontal="left"/>
    </xf>
    <xf numFmtId="167" fontId="2" fillId="0" borderId="0" xfId="0" applyNumberFormat="1" applyFont="1" applyAlignment="1">
      <alignment horizontal="left"/>
    </xf>
    <xf numFmtId="169" fontId="5" fillId="0" borderId="0" xfId="0" applyNumberFormat="1" applyFont="1"/>
    <xf numFmtId="170" fontId="5" fillId="0" borderId="0" xfId="0" applyNumberFormat="1" applyFont="1"/>
    <xf numFmtId="170" fontId="6" fillId="0" borderId="0" xfId="0" applyNumberFormat="1" applyFont="1"/>
    <xf numFmtId="0" fontId="3" fillId="0" borderId="0" xfId="0" applyFont="1" applyAlignment="1">
      <alignment horizontal="center" vertical="center" wrapText="1"/>
    </xf>
    <xf numFmtId="2" fontId="5" fillId="0" borderId="0" xfId="0" applyNumberFormat="1" applyFont="1"/>
    <xf numFmtId="168" fontId="5" fillId="0" borderId="0" xfId="0" applyNumberFormat="1" applyFont="1"/>
    <xf numFmtId="164" fontId="5" fillId="0" borderId="0" xfId="0" applyNumberFormat="1" applyFont="1"/>
    <xf numFmtId="0" fontId="4" fillId="5" borderId="0" xfId="0" applyFont="1" applyFill="1" applyAlignment="1">
      <alignment horizontal="center" vertical="center" wrapText="1"/>
    </xf>
    <xf numFmtId="0" fontId="0" fillId="0" borderId="0" xfId="0"/>
    <xf numFmtId="0" fontId="4" fillId="3" borderId="0" xfId="0" applyFont="1" applyFill="1" applyAlignment="1">
      <alignment horizontal="center" vertical="center" wrapText="1"/>
    </xf>
    <xf numFmtId="166" fontId="7" fillId="6" borderId="0" xfId="0" applyNumberFormat="1" applyFont="1" applyFill="1" applyAlignment="1">
      <alignment horizontal="center" vertical="center" wrapText="1"/>
    </xf>
    <xf numFmtId="165" fontId="7" fillId="6" borderId="0" xfId="0" applyNumberFormat="1" applyFont="1" applyFill="1" applyAlignment="1">
      <alignment horizontal="center" vertical="center" wrapText="1"/>
    </xf>
    <xf numFmtId="167" fontId="7" fillId="6" borderId="0" xfId="0" applyNumberFormat="1" applyFont="1" applyFill="1" applyAlignment="1">
      <alignment horizontal="center" vertical="center" wrapText="1"/>
    </xf>
  </cellXfs>
  <cellStyles count="1">
    <cellStyle name="Normal" xfId="0" builtinId="0"/>
  </cellStyles>
  <dxfs count="4">
    <dxf>
      <font>
        <b/>
        <color rgb="FF9C0006"/>
      </font>
      <fill>
        <patternFill patternType="solid">
          <bgColor rgb="FFFFC7CE"/>
        </patternFill>
      </fill>
    </dxf>
    <dxf>
      <font>
        <b/>
        <color rgb="FF006100"/>
      </font>
      <fill>
        <patternFill patternType="solid">
          <bgColor rgb="FFC6EFCE"/>
        </patternFill>
      </fill>
    </dxf>
    <dxf>
      <font>
        <b/>
        <color rgb="FF9C0006"/>
      </font>
    </dxf>
    <dxf>
      <font>
        <b/>
        <color rgb="FF0061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a:lstStyle/>
          <a:p>
            <a:pPr>
              <a:defRPr/>
            </a:pPr>
            <a:r>
              <a:t>Operating income, operating expenses and net profit (EUR m)</a:t>
            </a:r>
          </a:p>
        </c:rich>
      </c:tx>
      <c:overlay val="0"/>
    </c:title>
    <c:autoTitleDeleted val="0"/>
    <c:plotArea>
      <c:layout/>
      <c:barChart>
        <c:barDir val="col"/>
        <c:grouping val="clustered"/>
        <c:varyColors val="0"/>
        <c:ser>
          <c:idx val="0"/>
          <c:order val="0"/>
          <c:tx>
            <c:strRef>
              <c:f>Dashboard!$B$83</c:f>
              <c:strCache>
                <c:ptCount val="1"/>
                <c:pt idx="0">
                  <c:v>Operating income</c:v>
                </c:pt>
              </c:strCache>
            </c:strRef>
          </c:tx>
          <c:spPr>
            <a:solidFill>
              <a:srgbClr val="2A78D6"/>
            </a:solidFill>
            <a:ln>
              <a:solidFill>
                <a:srgbClr val="2A78D6"/>
              </a:solidFill>
              <a:prstDash val="solid"/>
            </a:ln>
          </c:spPr>
          <c:invertIfNegative val="1"/>
          <c:cat>
            <c:strRef>
              <c:f>Dashboard!$C$82:$G$82</c:f>
              <c:strCache>
                <c:ptCount val="5"/>
                <c:pt idx="0">
                  <c:v>FY2023A</c:v>
                </c:pt>
                <c:pt idx="1">
                  <c:v>FY2024A</c:v>
                </c:pt>
                <c:pt idx="2">
                  <c:v>FY2025A</c:v>
                </c:pt>
                <c:pt idx="3">
                  <c:v>FY2026E</c:v>
                </c:pt>
                <c:pt idx="4">
                  <c:v>FY2027E</c:v>
                </c:pt>
              </c:strCache>
            </c:strRef>
          </c:cat>
          <c:val>
            <c:numRef>
              <c:f>Dashboard!$C$83:$G$83</c:f>
              <c:numCache>
                <c:formatCode>#\ ##0;[Red]\-#\ ##0</c:formatCode>
                <c:ptCount val="5"/>
                <c:pt idx="0">
                  <c:v>10551.613437999998</c:v>
                </c:pt>
                <c:pt idx="1">
                  <c:v>11178.473352000001</c:v>
                </c:pt>
                <c:pt idx="2">
                  <c:v>11658.891703000001</c:v>
                </c:pt>
                <c:pt idx="3">
                  <c:v>16145.069829940001</c:v>
                </c:pt>
                <c:pt idx="4">
                  <c:v>16769.427392898804</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2A78D6"/>
                    </a:solidFill>
                    <a:prstDash val="solid"/>
                  </a:ln>
                </c14:spPr>
              </c14:invertSolidFillFmt>
            </c:ext>
            <c:ext xmlns:c16="http://schemas.microsoft.com/office/drawing/2014/chart" uri="{C3380CC4-5D6E-409C-BE32-E72D297353CC}">
              <c16:uniqueId val="{00000000-9E08-B042-8A8C-24F548535F99}"/>
            </c:ext>
          </c:extLst>
        </c:ser>
        <c:ser>
          <c:idx val="1"/>
          <c:order val="1"/>
          <c:tx>
            <c:strRef>
              <c:f>Dashboard!$B$84</c:f>
              <c:strCache>
                <c:ptCount val="1"/>
                <c:pt idx="0">
                  <c:v>Operating expenses</c:v>
                </c:pt>
              </c:strCache>
            </c:strRef>
          </c:tx>
          <c:spPr>
            <a:solidFill>
              <a:srgbClr val="EB6834"/>
            </a:solidFill>
            <a:ln>
              <a:solidFill>
                <a:srgbClr val="EB6834"/>
              </a:solidFill>
              <a:prstDash val="solid"/>
            </a:ln>
          </c:spPr>
          <c:invertIfNegative val="1"/>
          <c:cat>
            <c:strRef>
              <c:f>Dashboard!$C$82:$G$82</c:f>
              <c:strCache>
                <c:ptCount val="5"/>
                <c:pt idx="0">
                  <c:v>FY2023A</c:v>
                </c:pt>
                <c:pt idx="1">
                  <c:v>FY2024A</c:v>
                </c:pt>
                <c:pt idx="2">
                  <c:v>FY2025A</c:v>
                </c:pt>
                <c:pt idx="3">
                  <c:v>FY2026E</c:v>
                </c:pt>
                <c:pt idx="4">
                  <c:v>FY2027E</c:v>
                </c:pt>
              </c:strCache>
            </c:strRef>
          </c:cat>
          <c:val>
            <c:numRef>
              <c:f>Dashboard!$C$84:$G$84</c:f>
              <c:numCache>
                <c:formatCode>#\ ##0;[Red]\-#\ ##0</c:formatCode>
                <c:ptCount val="5"/>
                <c:pt idx="0">
                  <c:v>5019.6050399999995</c:v>
                </c:pt>
                <c:pt idx="1">
                  <c:v>5278.9167360000001</c:v>
                </c:pt>
                <c:pt idx="2">
                  <c:v>5582.879551</c:v>
                </c:pt>
                <c:pt idx="3">
                  <c:v>7180.1625343699998</c:v>
                </c:pt>
                <c:pt idx="4">
                  <c:v>7323.7657850573996</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EB6834"/>
                    </a:solidFill>
                    <a:prstDash val="solid"/>
                  </a:ln>
                </c14:spPr>
              </c14:invertSolidFillFmt>
            </c:ext>
            <c:ext xmlns:c16="http://schemas.microsoft.com/office/drawing/2014/chart" uri="{C3380CC4-5D6E-409C-BE32-E72D297353CC}">
              <c16:uniqueId val="{00000001-9E08-B042-8A8C-24F548535F99}"/>
            </c:ext>
          </c:extLst>
        </c:ser>
        <c:ser>
          <c:idx val="2"/>
          <c:order val="2"/>
          <c:tx>
            <c:strRef>
              <c:f>Dashboard!$B$85</c:f>
              <c:strCache>
                <c:ptCount val="1"/>
                <c:pt idx="0">
                  <c:v>Net profit attributable</c:v>
                </c:pt>
              </c:strCache>
            </c:strRef>
          </c:tx>
          <c:spPr>
            <a:solidFill>
              <a:srgbClr val="1BAF7A"/>
            </a:solidFill>
            <a:ln>
              <a:solidFill>
                <a:srgbClr val="1BAF7A"/>
              </a:solidFill>
              <a:prstDash val="solid"/>
            </a:ln>
          </c:spPr>
          <c:invertIfNegative val="1"/>
          <c:cat>
            <c:strRef>
              <c:f>Dashboard!$C$82:$G$82</c:f>
              <c:strCache>
                <c:ptCount val="5"/>
                <c:pt idx="0">
                  <c:v>FY2023A</c:v>
                </c:pt>
                <c:pt idx="1">
                  <c:v>FY2024A</c:v>
                </c:pt>
                <c:pt idx="2">
                  <c:v>FY2025A</c:v>
                </c:pt>
                <c:pt idx="3">
                  <c:v>FY2026E</c:v>
                </c:pt>
                <c:pt idx="4">
                  <c:v>FY2027E</c:v>
                </c:pt>
              </c:strCache>
            </c:strRef>
          </c:cat>
          <c:val>
            <c:numRef>
              <c:f>Dashboard!$C$85:$G$85</c:f>
              <c:numCache>
                <c:formatCode>#\ ##0;[Red]\-#\ ##0</c:formatCode>
                <c:ptCount val="5"/>
                <c:pt idx="0">
                  <c:v>2997.5756919999985</c:v>
                </c:pt>
                <c:pt idx="1">
                  <c:v>3125.299253000001</c:v>
                </c:pt>
                <c:pt idx="2">
                  <c:v>3509.5517660000014</c:v>
                </c:pt>
                <c:pt idx="3">
                  <c:v>4116.078562834884</c:v>
                </c:pt>
                <c:pt idx="4">
                  <c:v>4402.1351660841783</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BAF7A"/>
                    </a:solidFill>
                    <a:prstDash val="solid"/>
                  </a:ln>
                </c14:spPr>
              </c14:invertSolidFillFmt>
            </c:ext>
            <c:ext xmlns:c16="http://schemas.microsoft.com/office/drawing/2014/chart" uri="{C3380CC4-5D6E-409C-BE32-E72D297353CC}">
              <c16:uniqueId val="{00000002-9E08-B042-8A8C-24F548535F99}"/>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plotArea>
    <c:legend>
      <c:legendPos val="t"/>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a:lstStyle/>
          <a:p>
            <a:pPr>
              <a:defRPr/>
            </a:pPr>
            <a:r>
              <a:t>Cost/income ratio (lower is better)</a:t>
            </a:r>
          </a:p>
        </c:rich>
      </c:tx>
      <c:overlay val="0"/>
    </c:title>
    <c:autoTitleDeleted val="0"/>
    <c:plotArea>
      <c:layout/>
      <c:lineChart>
        <c:grouping val="standard"/>
        <c:varyColors val="0"/>
        <c:ser>
          <c:idx val="0"/>
          <c:order val="0"/>
          <c:tx>
            <c:strRef>
              <c:f>Dashboard!$B$86</c:f>
              <c:strCache>
                <c:ptCount val="1"/>
                <c:pt idx="0">
                  <c:v>Cost/income ratio</c:v>
                </c:pt>
              </c:strCache>
            </c:strRef>
          </c:tx>
          <c:spPr>
            <a:ln w="25400">
              <a:solidFill>
                <a:srgbClr val="2A78D6"/>
              </a:solidFill>
              <a:prstDash val="solid"/>
            </a:ln>
          </c:spPr>
          <c:marker>
            <c:symbol val="none"/>
          </c:marker>
          <c:cat>
            <c:strRef>
              <c:f>Dashboard!$C$82:$G$82</c:f>
              <c:strCache>
                <c:ptCount val="5"/>
                <c:pt idx="0">
                  <c:v>FY2023A</c:v>
                </c:pt>
                <c:pt idx="1">
                  <c:v>FY2024A</c:v>
                </c:pt>
                <c:pt idx="2">
                  <c:v>FY2025A</c:v>
                </c:pt>
                <c:pt idx="3">
                  <c:v>FY2026E</c:v>
                </c:pt>
                <c:pt idx="4">
                  <c:v>FY2027E</c:v>
                </c:pt>
              </c:strCache>
            </c:strRef>
          </c:cat>
          <c:val>
            <c:numRef>
              <c:f>Dashboard!$C$86:$G$86</c:f>
              <c:numCache>
                <c:formatCode>0.0%;[Red]\-0.0%</c:formatCode>
                <c:ptCount val="5"/>
                <c:pt idx="0">
                  <c:v>0.4757191939881602</c:v>
                </c:pt>
                <c:pt idx="1">
                  <c:v>0.47223950621625094</c:v>
                </c:pt>
                <c:pt idx="2">
                  <c:v>0.47885165187386075</c:v>
                </c:pt>
                <c:pt idx="3">
                  <c:v>0.4447278711086679</c:v>
                </c:pt>
                <c:pt idx="4">
                  <c:v>0.43673320581946212</c:v>
                </c:pt>
              </c:numCache>
            </c:numRef>
          </c:val>
          <c:smooth val="0"/>
          <c:extLst>
            <c:ext xmlns:c16="http://schemas.microsoft.com/office/drawing/2014/chart" uri="{C3380CC4-5D6E-409C-BE32-E72D297353CC}">
              <c16:uniqueId val="{00000000-D132-D443-96F2-A72CDFEE473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max val="0.5"/>
          <c:min val="0.4"/>
        </c:scaling>
        <c:delete val="0"/>
        <c:axPos val="l"/>
        <c:majorGridlines/>
        <c:numFmt formatCode="0%" sourceLinked="0"/>
        <c:majorTickMark val="none"/>
        <c:minorTickMark val="none"/>
        <c:tickLblPos val="nextTo"/>
        <c:crossAx val="10"/>
        <c:crosses val="autoZero"/>
        <c:crossBetween val="between"/>
      </c:valAx>
    </c:plotArea>
    <c:legend>
      <c:legendPos val="t"/>
      <c:overlay val="0"/>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a:lstStyle/>
          <a:p>
            <a:pPr>
              <a:defRPr/>
            </a:pPr>
            <a:r>
              <a:t>Net profit attributable by scenario (EUR m)</a:t>
            </a:r>
          </a:p>
        </c:rich>
      </c:tx>
      <c:overlay val="0"/>
    </c:title>
    <c:autoTitleDeleted val="0"/>
    <c:plotArea>
      <c:layout/>
      <c:barChart>
        <c:barDir val="col"/>
        <c:grouping val="clustered"/>
        <c:varyColors val="0"/>
        <c:ser>
          <c:idx val="0"/>
          <c:order val="0"/>
          <c:tx>
            <c:strRef>
              <c:f>Dashboard!$B$90</c:f>
              <c:strCache>
                <c:ptCount val="1"/>
                <c:pt idx="0">
                  <c:v>Base</c:v>
                </c:pt>
              </c:strCache>
            </c:strRef>
          </c:tx>
          <c:spPr>
            <a:solidFill>
              <a:srgbClr val="2A78D6"/>
            </a:solidFill>
            <a:ln>
              <a:solidFill>
                <a:srgbClr val="2A78D6"/>
              </a:solidFill>
              <a:prstDash val="solid"/>
            </a:ln>
          </c:spPr>
          <c:invertIfNegative val="1"/>
          <c:cat>
            <c:strRef>
              <c:f>Dashboard!$C$89:$D$89</c:f>
              <c:strCache>
                <c:ptCount val="2"/>
                <c:pt idx="0">
                  <c:v>FY2026E</c:v>
                </c:pt>
                <c:pt idx="1">
                  <c:v>FY2027E</c:v>
                </c:pt>
              </c:strCache>
            </c:strRef>
          </c:cat>
          <c:val>
            <c:numRef>
              <c:f>Dashboard!$C$90:$D$90</c:f>
              <c:numCache>
                <c:formatCode>#\ ##0;[Red]\-#\ ##0</c:formatCode>
                <c:ptCount val="2"/>
                <c:pt idx="0">
                  <c:v>4116.078562834884</c:v>
                </c:pt>
                <c:pt idx="1">
                  <c:v>4402.1351660841783</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2A78D6"/>
                    </a:solidFill>
                    <a:prstDash val="solid"/>
                  </a:ln>
                </c14:spPr>
              </c14:invertSolidFillFmt>
            </c:ext>
            <c:ext xmlns:c16="http://schemas.microsoft.com/office/drawing/2014/chart" uri="{C3380CC4-5D6E-409C-BE32-E72D297353CC}">
              <c16:uniqueId val="{00000000-7239-9047-8709-A10BD5106EB0}"/>
            </c:ext>
          </c:extLst>
        </c:ser>
        <c:ser>
          <c:idx val="1"/>
          <c:order val="1"/>
          <c:tx>
            <c:strRef>
              <c:f>Dashboard!$B$91</c:f>
              <c:strCache>
                <c:ptCount val="1"/>
                <c:pt idx="0">
                  <c:v>Upside</c:v>
                </c:pt>
              </c:strCache>
            </c:strRef>
          </c:tx>
          <c:spPr>
            <a:solidFill>
              <a:srgbClr val="1BAF7A"/>
            </a:solidFill>
            <a:ln>
              <a:solidFill>
                <a:srgbClr val="1BAF7A"/>
              </a:solidFill>
              <a:prstDash val="solid"/>
            </a:ln>
          </c:spPr>
          <c:invertIfNegative val="1"/>
          <c:cat>
            <c:strRef>
              <c:f>Dashboard!$C$89:$D$89</c:f>
              <c:strCache>
                <c:ptCount val="2"/>
                <c:pt idx="0">
                  <c:v>FY2026E</c:v>
                </c:pt>
                <c:pt idx="1">
                  <c:v>FY2027E</c:v>
                </c:pt>
              </c:strCache>
            </c:strRef>
          </c:cat>
          <c:val>
            <c:numRef>
              <c:f>Dashboard!$C$91:$D$91</c:f>
              <c:numCache>
                <c:formatCode>#\ ##0;[Red]\-#\ ##0</c:formatCode>
                <c:ptCount val="2"/>
                <c:pt idx="0">
                  <c:v>4334.7466191119456</c:v>
                </c:pt>
                <c:pt idx="1">
                  <c:v>4949.404947742024</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BAF7A"/>
                    </a:solidFill>
                    <a:prstDash val="solid"/>
                  </a:ln>
                </c14:spPr>
              </c14:invertSolidFillFmt>
            </c:ext>
            <c:ext xmlns:c16="http://schemas.microsoft.com/office/drawing/2014/chart" uri="{C3380CC4-5D6E-409C-BE32-E72D297353CC}">
              <c16:uniqueId val="{00000001-7239-9047-8709-A10BD5106EB0}"/>
            </c:ext>
          </c:extLst>
        </c:ser>
        <c:ser>
          <c:idx val="2"/>
          <c:order val="2"/>
          <c:tx>
            <c:strRef>
              <c:f>Dashboard!$B$92</c:f>
              <c:strCache>
                <c:ptCount val="1"/>
                <c:pt idx="0">
                  <c:v>Downside</c:v>
                </c:pt>
              </c:strCache>
            </c:strRef>
          </c:tx>
          <c:spPr>
            <a:solidFill>
              <a:srgbClr val="EB6834"/>
            </a:solidFill>
            <a:ln>
              <a:solidFill>
                <a:srgbClr val="EB6834"/>
              </a:solidFill>
              <a:prstDash val="solid"/>
            </a:ln>
          </c:spPr>
          <c:invertIfNegative val="1"/>
          <c:cat>
            <c:strRef>
              <c:f>Dashboard!$C$89:$D$89</c:f>
              <c:strCache>
                <c:ptCount val="2"/>
                <c:pt idx="0">
                  <c:v>FY2026E</c:v>
                </c:pt>
                <c:pt idx="1">
                  <c:v>FY2027E</c:v>
                </c:pt>
              </c:strCache>
            </c:strRef>
          </c:cat>
          <c:val>
            <c:numRef>
              <c:f>Dashboard!$C$92:$D$92</c:f>
              <c:numCache>
                <c:formatCode>#\ ##0;[Red]\-#\ ##0</c:formatCode>
                <c:ptCount val="2"/>
                <c:pt idx="0">
                  <c:v>3616.9532850245214</c:v>
                </c:pt>
                <c:pt idx="1">
                  <c:v>2897.0644332751017</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EB6834"/>
                    </a:solidFill>
                    <a:prstDash val="solid"/>
                  </a:ln>
                </c14:spPr>
              </c14:invertSolidFillFmt>
            </c:ext>
            <c:ext xmlns:c16="http://schemas.microsoft.com/office/drawing/2014/chart" uri="{C3380CC4-5D6E-409C-BE32-E72D297353CC}">
              <c16:uniqueId val="{00000002-7239-9047-8709-A10BD5106EB0}"/>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plotArea>
    <c:legend>
      <c:legendPos val="t"/>
      <c:overlay val="0"/>
    </c:legend>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a:lstStyle/>
          <a:p>
            <a:pPr>
              <a:defRPr/>
            </a:pPr>
            <a:r>
              <a:t>Quarterly net interest income and fee income (EUR m) - Poland consolidated from Q1 26</a:t>
            </a:r>
          </a:p>
        </c:rich>
      </c:tx>
      <c:overlay val="0"/>
    </c:title>
    <c:autoTitleDeleted val="0"/>
    <c:plotArea>
      <c:layout/>
      <c:lineChart>
        <c:grouping val="standard"/>
        <c:varyColors val="0"/>
        <c:ser>
          <c:idx val="0"/>
          <c:order val="0"/>
          <c:tx>
            <c:v>Net interest income</c:v>
          </c:tx>
          <c:spPr>
            <a:ln w="25400">
              <a:solidFill>
                <a:srgbClr val="2A78D6"/>
              </a:solidFill>
              <a:prstDash val="solid"/>
            </a:ln>
          </c:spPr>
          <c:marker>
            <c:symbol val="none"/>
          </c:marker>
          <c:cat>
            <c:strRef>
              <c:f>Reported_Actuals!$D$5:$Q$5</c:f>
              <c:strCache>
                <c:ptCount val="14"/>
                <c:pt idx="0">
                  <c:v>Q1 23</c:v>
                </c:pt>
                <c:pt idx="1">
                  <c:v>Q2 23</c:v>
                </c:pt>
                <c:pt idx="2">
                  <c:v>Q3 23</c:v>
                </c:pt>
                <c:pt idx="3">
                  <c:v>Q4 23</c:v>
                </c:pt>
                <c:pt idx="4">
                  <c:v>Q1 24</c:v>
                </c:pt>
                <c:pt idx="5">
                  <c:v>Q2 24</c:v>
                </c:pt>
                <c:pt idx="6">
                  <c:v>Q3 24</c:v>
                </c:pt>
                <c:pt idx="7">
                  <c:v>Q4 24</c:v>
                </c:pt>
                <c:pt idx="8">
                  <c:v>Q1 25</c:v>
                </c:pt>
                <c:pt idx="9">
                  <c:v>Q2 25</c:v>
                </c:pt>
                <c:pt idx="10">
                  <c:v>Q3 25</c:v>
                </c:pt>
                <c:pt idx="11">
                  <c:v>Q4 25</c:v>
                </c:pt>
                <c:pt idx="12">
                  <c:v>Q1 26</c:v>
                </c:pt>
                <c:pt idx="13">
                  <c:v>Q2 26</c:v>
                </c:pt>
              </c:strCache>
            </c:strRef>
          </c:cat>
          <c:val>
            <c:numRef>
              <c:f>Reported_Actuals!$D$6:$Q$6</c:f>
              <c:numCache>
                <c:formatCode>#\ ##0.0;[Red]\-#\ ##0.0</c:formatCode>
                <c:ptCount val="14"/>
                <c:pt idx="0">
                  <c:v>1768.95892</c:v>
                </c:pt>
                <c:pt idx="1">
                  <c:v>1792.150468</c:v>
                </c:pt>
                <c:pt idx="2">
                  <c:v>1861.211783</c:v>
                </c:pt>
                <c:pt idx="3">
                  <c:v>1805.579612</c:v>
                </c:pt>
                <c:pt idx="4">
                  <c:v>1852.4497260000001</c:v>
                </c:pt>
                <c:pt idx="5">
                  <c:v>1835.001223</c:v>
                </c:pt>
                <c:pt idx="6">
                  <c:v>1903.244788</c:v>
                </c:pt>
                <c:pt idx="7">
                  <c:v>1937.57044</c:v>
                </c:pt>
                <c:pt idx="8">
                  <c:v>1872.060686</c:v>
                </c:pt>
                <c:pt idx="9">
                  <c:v>1914.351547</c:v>
                </c:pt>
                <c:pt idx="10">
                  <c:v>1974.5601549999999</c:v>
                </c:pt>
                <c:pt idx="11">
                  <c:v>2027.4495710000001</c:v>
                </c:pt>
                <c:pt idx="12">
                  <c:v>2673.7712080000001</c:v>
                </c:pt>
                <c:pt idx="13">
                  <c:v>2712.6305139999999</c:v>
                </c:pt>
              </c:numCache>
            </c:numRef>
          </c:val>
          <c:smooth val="0"/>
          <c:extLst>
            <c:ext xmlns:c16="http://schemas.microsoft.com/office/drawing/2014/chart" uri="{C3380CC4-5D6E-409C-BE32-E72D297353CC}">
              <c16:uniqueId val="{00000000-A8D8-2E43-B634-197638EB5F86}"/>
            </c:ext>
          </c:extLst>
        </c:ser>
        <c:ser>
          <c:idx val="1"/>
          <c:order val="1"/>
          <c:tx>
            <c:v>Net fee and commission income</c:v>
          </c:tx>
          <c:spPr>
            <a:ln w="25400">
              <a:solidFill>
                <a:srgbClr val="EB6834"/>
              </a:solidFill>
              <a:prstDash val="solid"/>
            </a:ln>
          </c:spPr>
          <c:marker>
            <c:symbol val="none"/>
          </c:marker>
          <c:cat>
            <c:strRef>
              <c:f>Reported_Actuals!$D$5:$Q$5</c:f>
              <c:strCache>
                <c:ptCount val="14"/>
                <c:pt idx="0">
                  <c:v>Q1 23</c:v>
                </c:pt>
                <c:pt idx="1">
                  <c:v>Q2 23</c:v>
                </c:pt>
                <c:pt idx="2">
                  <c:v>Q3 23</c:v>
                </c:pt>
                <c:pt idx="3">
                  <c:v>Q4 23</c:v>
                </c:pt>
                <c:pt idx="4">
                  <c:v>Q1 24</c:v>
                </c:pt>
                <c:pt idx="5">
                  <c:v>Q2 24</c:v>
                </c:pt>
                <c:pt idx="6">
                  <c:v>Q3 24</c:v>
                </c:pt>
                <c:pt idx="7">
                  <c:v>Q4 24</c:v>
                </c:pt>
                <c:pt idx="8">
                  <c:v>Q1 25</c:v>
                </c:pt>
                <c:pt idx="9">
                  <c:v>Q2 25</c:v>
                </c:pt>
                <c:pt idx="10">
                  <c:v>Q3 25</c:v>
                </c:pt>
                <c:pt idx="11">
                  <c:v>Q4 25</c:v>
                </c:pt>
                <c:pt idx="12">
                  <c:v>Q1 26</c:v>
                </c:pt>
                <c:pt idx="13">
                  <c:v>Q2 26</c:v>
                </c:pt>
              </c:strCache>
            </c:strRef>
          </c:cat>
          <c:val>
            <c:numRef>
              <c:f>Reported_Actuals!$D$7:$Q$7</c:f>
              <c:numCache>
                <c:formatCode>#\ ##0.0;[Red]\-#\ ##0.0</c:formatCode>
                <c:ptCount val="14"/>
                <c:pt idx="0">
                  <c:v>642.71155499999998</c:v>
                </c:pt>
                <c:pt idx="1">
                  <c:v>631.94690000000003</c:v>
                </c:pt>
                <c:pt idx="2">
                  <c:v>662.94289100000003</c:v>
                </c:pt>
                <c:pt idx="3">
                  <c:v>701.98929999999996</c:v>
                </c:pt>
                <c:pt idx="4">
                  <c:v>712.21261000000004</c:v>
                </c:pt>
                <c:pt idx="5">
                  <c:v>710.67326500000001</c:v>
                </c:pt>
                <c:pt idx="6">
                  <c:v>734.95656199999996</c:v>
                </c:pt>
                <c:pt idx="7">
                  <c:v>779.74474399999997</c:v>
                </c:pt>
                <c:pt idx="8">
                  <c:v>780.00599399999999</c:v>
                </c:pt>
                <c:pt idx="9">
                  <c:v>761.66000599999995</c:v>
                </c:pt>
                <c:pt idx="10">
                  <c:v>798.41925100000003</c:v>
                </c:pt>
                <c:pt idx="11">
                  <c:v>850.44345999999996</c:v>
                </c:pt>
                <c:pt idx="12">
                  <c:v>964.65442700000006</c:v>
                </c:pt>
                <c:pt idx="13">
                  <c:v>964.10427400000003</c:v>
                </c:pt>
              </c:numCache>
            </c:numRef>
          </c:val>
          <c:smooth val="0"/>
          <c:extLst>
            <c:ext xmlns:c16="http://schemas.microsoft.com/office/drawing/2014/chart" uri="{C3380CC4-5D6E-409C-BE32-E72D297353CC}">
              <c16:uniqueId val="{00000001-A8D8-2E43-B634-197638EB5F8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plotArea>
    <c:legend>
      <c:legendPos val="t"/>
      <c:overlay val="0"/>
    </c:legend>
    <c:plotVisOnly val="1"/>
    <c:dispBlanksAs val="gap"/>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a:lstStyle/>
          <a:p>
            <a:pPr>
              <a:defRPr/>
            </a:pPr>
            <a:r>
              <a:t>Is income growing faster than costs? Growth vs prior period</a:t>
            </a:r>
          </a:p>
        </c:rich>
      </c:tx>
      <c:overlay val="0"/>
    </c:title>
    <c:autoTitleDeleted val="0"/>
    <c:plotArea>
      <c:layout/>
      <c:barChart>
        <c:barDir val="col"/>
        <c:grouping val="clustered"/>
        <c:varyColors val="0"/>
        <c:ser>
          <c:idx val="0"/>
          <c:order val="0"/>
          <c:tx>
            <c:strRef>
              <c:f>Dashboard!$B$96</c:f>
              <c:strCache>
                <c:ptCount val="1"/>
                <c:pt idx="0">
                  <c:v>Operating income growth</c:v>
                </c:pt>
              </c:strCache>
            </c:strRef>
          </c:tx>
          <c:spPr>
            <a:solidFill>
              <a:srgbClr val="2A78D6"/>
            </a:solidFill>
            <a:ln>
              <a:solidFill>
                <a:srgbClr val="2A78D6"/>
              </a:solidFill>
              <a:prstDash val="solid"/>
            </a:ln>
          </c:spPr>
          <c:invertIfNegative val="1"/>
          <c:cat>
            <c:strRef>
              <c:f>Dashboard!$C$95:$F$95</c:f>
              <c:strCache>
                <c:ptCount val="4"/>
                <c:pt idx="0">
                  <c:v>FY2024</c:v>
                </c:pt>
                <c:pt idx="1">
                  <c:v>FY2025</c:v>
                </c:pt>
                <c:pt idx="2">
                  <c:v>H1 2026 reported</c:v>
                </c:pt>
                <c:pt idx="3">
                  <c:v>H1 2026 excl. Poland</c:v>
                </c:pt>
              </c:strCache>
            </c:strRef>
          </c:cat>
          <c:val>
            <c:numRef>
              <c:f>Dashboard!$C$96:$F$96</c:f>
              <c:numCache>
                <c:formatCode>0.0%;[Red]\-0.0%</c:formatCode>
                <c:ptCount val="4"/>
                <c:pt idx="0">
                  <c:v>5.9408915772299231E-2</c:v>
                </c:pt>
                <c:pt idx="1">
                  <c:v>4.297709856006815E-2</c:v>
                </c:pt>
                <c:pt idx="2">
                  <c:v>0.40404807073318083</c:v>
                </c:pt>
                <c:pt idx="3">
                  <c:v>8.2843148464072813E-2</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2A78D6"/>
                    </a:solidFill>
                    <a:prstDash val="solid"/>
                  </a:ln>
                </c14:spPr>
              </c14:invertSolidFillFmt>
            </c:ext>
            <c:ext xmlns:c16="http://schemas.microsoft.com/office/drawing/2014/chart" uri="{C3380CC4-5D6E-409C-BE32-E72D297353CC}">
              <c16:uniqueId val="{00000000-77AE-C146-B117-7B83FF84CB94}"/>
            </c:ext>
          </c:extLst>
        </c:ser>
        <c:ser>
          <c:idx val="1"/>
          <c:order val="1"/>
          <c:tx>
            <c:strRef>
              <c:f>Dashboard!$B$97</c:f>
              <c:strCache>
                <c:ptCount val="1"/>
                <c:pt idx="0">
                  <c:v>Operating expense growth</c:v>
                </c:pt>
              </c:strCache>
            </c:strRef>
          </c:tx>
          <c:spPr>
            <a:solidFill>
              <a:srgbClr val="EB6834"/>
            </a:solidFill>
            <a:ln>
              <a:solidFill>
                <a:srgbClr val="EB6834"/>
              </a:solidFill>
              <a:prstDash val="solid"/>
            </a:ln>
          </c:spPr>
          <c:invertIfNegative val="1"/>
          <c:cat>
            <c:strRef>
              <c:f>Dashboard!$C$95:$F$95</c:f>
              <c:strCache>
                <c:ptCount val="4"/>
                <c:pt idx="0">
                  <c:v>FY2024</c:v>
                </c:pt>
                <c:pt idx="1">
                  <c:v>FY2025</c:v>
                </c:pt>
                <c:pt idx="2">
                  <c:v>H1 2026 reported</c:v>
                </c:pt>
                <c:pt idx="3">
                  <c:v>H1 2026 excl. Poland</c:v>
                </c:pt>
              </c:strCache>
            </c:strRef>
          </c:cat>
          <c:val>
            <c:numRef>
              <c:f>Dashboard!$C$97:$F$97</c:f>
              <c:numCache>
                <c:formatCode>0.0%;[Red]\-0.0%</c:formatCode>
                <c:ptCount val="4"/>
                <c:pt idx="0">
                  <c:v>5.165978078625888E-2</c:v>
                </c:pt>
                <c:pt idx="1">
                  <c:v>5.7580528392709995E-2</c:v>
                </c:pt>
                <c:pt idx="2">
                  <c:v>0.30718425999409482</c:v>
                </c:pt>
                <c:pt idx="3">
                  <c:v>3.4443268265628824E-2</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EB6834"/>
                    </a:solidFill>
                    <a:prstDash val="solid"/>
                  </a:ln>
                </c14:spPr>
              </c14:invertSolidFillFmt>
            </c:ext>
            <c:ext xmlns:c16="http://schemas.microsoft.com/office/drawing/2014/chart" uri="{C3380CC4-5D6E-409C-BE32-E72D297353CC}">
              <c16:uniqueId val="{00000001-77AE-C146-B117-7B83FF84CB94}"/>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plotArea>
    <c:legend>
      <c:legendPos val="t"/>
      <c:overlay val="0"/>
    </c:legend>
    <c:plotVisOnly val="1"/>
    <c:dispBlanksAs val="gap"/>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a:lstStyle/>
          <a:p>
            <a:pPr>
              <a:defRPr/>
            </a:pPr>
            <a:r>
              <a:t>H1 2026: prior year, illustrative plan and actual (EUR m)</a:t>
            </a:r>
          </a:p>
        </c:rich>
      </c:tx>
      <c:overlay val="0"/>
    </c:title>
    <c:autoTitleDeleted val="0"/>
    <c:plotArea>
      <c:layout/>
      <c:barChart>
        <c:barDir val="col"/>
        <c:grouping val="clustered"/>
        <c:varyColors val="0"/>
        <c:ser>
          <c:idx val="0"/>
          <c:order val="0"/>
          <c:tx>
            <c:strRef>
              <c:f>Dashboard!$C$100</c:f>
              <c:strCache>
                <c:ptCount val="1"/>
                <c:pt idx="0">
                  <c:v>H1 2025 actual</c:v>
                </c:pt>
              </c:strCache>
            </c:strRef>
          </c:tx>
          <c:spPr>
            <a:solidFill>
              <a:srgbClr val="2A78D6"/>
            </a:solidFill>
            <a:ln>
              <a:solidFill>
                <a:srgbClr val="2A78D6"/>
              </a:solidFill>
              <a:prstDash val="solid"/>
            </a:ln>
          </c:spPr>
          <c:invertIfNegative val="1"/>
          <c:cat>
            <c:strRef>
              <c:f>Dashboard!$B$101:$B$102</c:f>
              <c:strCache>
                <c:ptCount val="2"/>
                <c:pt idx="0">
                  <c:v>Operating result</c:v>
                </c:pt>
                <c:pt idx="1">
                  <c:v>Net profit attributable</c:v>
                </c:pt>
              </c:strCache>
            </c:strRef>
          </c:cat>
          <c:val>
            <c:numRef>
              <c:f>Dashboard!$C$101:$C$102</c:f>
              <c:numCache>
                <c:formatCode>#\ ##0;[Red]\-#\ ##0</c:formatCode>
                <c:ptCount val="2"/>
                <c:pt idx="0">
                  <c:v>2962.5797459999999</c:v>
                </c:pt>
                <c:pt idx="1">
                  <c:v>1664.6669579999998</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2A78D6"/>
                    </a:solidFill>
                    <a:prstDash val="solid"/>
                  </a:ln>
                </c14:spPr>
              </c14:invertSolidFillFmt>
            </c:ext>
            <c:ext xmlns:c16="http://schemas.microsoft.com/office/drawing/2014/chart" uri="{C3380CC4-5D6E-409C-BE32-E72D297353CC}">
              <c16:uniqueId val="{00000000-D295-9647-A5C7-48E9AEA6DE11}"/>
            </c:ext>
          </c:extLst>
        </c:ser>
        <c:ser>
          <c:idx val="1"/>
          <c:order val="1"/>
          <c:tx>
            <c:strRef>
              <c:f>Dashboard!$D$100</c:f>
              <c:strCache>
                <c:ptCount val="1"/>
                <c:pt idx="0">
                  <c:v>Illustrative plan</c:v>
                </c:pt>
              </c:strCache>
            </c:strRef>
          </c:tx>
          <c:spPr>
            <a:solidFill>
              <a:srgbClr val="EB6834"/>
            </a:solidFill>
            <a:ln>
              <a:solidFill>
                <a:srgbClr val="EB6834"/>
              </a:solidFill>
              <a:prstDash val="solid"/>
            </a:ln>
          </c:spPr>
          <c:invertIfNegative val="1"/>
          <c:cat>
            <c:strRef>
              <c:f>Dashboard!$B$101:$B$102</c:f>
              <c:strCache>
                <c:ptCount val="2"/>
                <c:pt idx="0">
                  <c:v>Operating result</c:v>
                </c:pt>
                <c:pt idx="1">
                  <c:v>Net profit attributable</c:v>
                </c:pt>
              </c:strCache>
            </c:strRef>
          </c:cat>
          <c:val>
            <c:numRef>
              <c:f>Dashboard!$D$101:$D$102</c:f>
              <c:numCache>
                <c:formatCode>#\ ##0;[Red]\-#\ ##0</c:formatCode>
                <c:ptCount val="2"/>
                <c:pt idx="0">
                  <c:v>4263.4399999999996</c:v>
                </c:pt>
                <c:pt idx="1">
                  <c:v>1797.3378179999995</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EB6834"/>
                    </a:solidFill>
                    <a:prstDash val="solid"/>
                  </a:ln>
                </c14:spPr>
              </c14:invertSolidFillFmt>
            </c:ext>
            <c:ext xmlns:c16="http://schemas.microsoft.com/office/drawing/2014/chart" uri="{C3380CC4-5D6E-409C-BE32-E72D297353CC}">
              <c16:uniqueId val="{00000001-D295-9647-A5C7-48E9AEA6DE11}"/>
            </c:ext>
          </c:extLst>
        </c:ser>
        <c:ser>
          <c:idx val="2"/>
          <c:order val="2"/>
          <c:tx>
            <c:strRef>
              <c:f>Dashboard!$E$100</c:f>
              <c:strCache>
                <c:ptCount val="1"/>
                <c:pt idx="0">
                  <c:v>H1 2026 actual</c:v>
                </c:pt>
              </c:strCache>
            </c:strRef>
          </c:tx>
          <c:spPr>
            <a:solidFill>
              <a:srgbClr val="1BAF7A"/>
            </a:solidFill>
            <a:ln>
              <a:solidFill>
                <a:srgbClr val="1BAF7A"/>
              </a:solidFill>
              <a:prstDash val="solid"/>
            </a:ln>
          </c:spPr>
          <c:invertIfNegative val="1"/>
          <c:cat>
            <c:strRef>
              <c:f>Dashboard!$B$101:$B$102</c:f>
              <c:strCache>
                <c:ptCount val="2"/>
                <c:pt idx="0">
                  <c:v>Operating result</c:v>
                </c:pt>
                <c:pt idx="1">
                  <c:v>Net profit attributable</c:v>
                </c:pt>
              </c:strCache>
            </c:strRef>
          </c:cat>
          <c:val>
            <c:numRef>
              <c:f>Dashboard!$E$101:$E$102</c:f>
              <c:numCache>
                <c:formatCode>#\ ##0;[Red]\-#\ ##0</c:formatCode>
                <c:ptCount val="2"/>
                <c:pt idx="0">
                  <c:v>4421.7019370000016</c:v>
                </c:pt>
                <c:pt idx="1">
                  <c:v>1974.666992000002</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BAF7A"/>
                    </a:solidFill>
                    <a:prstDash val="solid"/>
                  </a:ln>
                </c14:spPr>
              </c14:invertSolidFillFmt>
            </c:ext>
            <c:ext xmlns:c16="http://schemas.microsoft.com/office/drawing/2014/chart" uri="{C3380CC4-5D6E-409C-BE32-E72D297353CC}">
              <c16:uniqueId val="{00000002-D295-9647-A5C7-48E9AEA6DE11}"/>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plotArea>
    <c:legend>
      <c:legendPos val="t"/>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1</xdr:col>
      <xdr:colOff>0</xdr:colOff>
      <xdr:row>9</xdr:row>
      <xdr:rowOff>0</xdr:rowOff>
    </xdr:from>
    <xdr:ext cx="5940000" cy="2951999"/>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7</xdr:col>
      <xdr:colOff>0</xdr:colOff>
      <xdr:row>9</xdr:row>
      <xdr:rowOff>0</xdr:rowOff>
    </xdr:from>
    <xdr:ext cx="5940000" cy="2951999"/>
    <xdr:graphicFrame macro="">
      <xdr:nvGraphicFramePr>
        <xdr:cNvPr id="3" name="Chart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27</xdr:row>
      <xdr:rowOff>0</xdr:rowOff>
    </xdr:from>
    <xdr:ext cx="5940000" cy="2951999"/>
    <xdr:graphicFrame macro="">
      <xdr:nvGraphicFramePr>
        <xdr:cNvPr id="4" name="Chart 3">
          <a:extLst>
            <a:ext uri="{FF2B5EF4-FFF2-40B4-BE49-F238E27FC236}">
              <a16:creationId xmlns:a16="http://schemas.microsoft.com/office/drawing/2014/main" id="{00000000-0008-0000-0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7</xdr:col>
      <xdr:colOff>0</xdr:colOff>
      <xdr:row>27</xdr:row>
      <xdr:rowOff>0</xdr:rowOff>
    </xdr:from>
    <xdr:ext cx="5940000" cy="2951999"/>
    <xdr:graphicFrame macro="">
      <xdr:nvGraphicFramePr>
        <xdr:cNvPr id="5" name="Chart 4">
          <a:extLst>
            <a:ext uri="{FF2B5EF4-FFF2-40B4-BE49-F238E27FC236}">
              <a16:creationId xmlns:a16="http://schemas.microsoft.com/office/drawing/2014/main" id="{00000000-0008-0000-0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oneCellAnchor>
    <xdr:from>
      <xdr:col>1</xdr:col>
      <xdr:colOff>0</xdr:colOff>
      <xdr:row>45</xdr:row>
      <xdr:rowOff>0</xdr:rowOff>
    </xdr:from>
    <xdr:ext cx="5940000" cy="2951999"/>
    <xdr:graphicFrame macro="">
      <xdr:nvGraphicFramePr>
        <xdr:cNvPr id="6" name="Chart 5">
          <a:extLst>
            <a:ext uri="{FF2B5EF4-FFF2-40B4-BE49-F238E27FC236}">
              <a16:creationId xmlns:a16="http://schemas.microsoft.com/office/drawing/2014/main" id="{00000000-0008-0000-08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oneCellAnchor>
  <xdr:oneCellAnchor>
    <xdr:from>
      <xdr:col>7</xdr:col>
      <xdr:colOff>0</xdr:colOff>
      <xdr:row>45</xdr:row>
      <xdr:rowOff>0</xdr:rowOff>
    </xdr:from>
    <xdr:ext cx="5940000" cy="2951999"/>
    <xdr:graphicFrame macro="">
      <xdr:nvGraphicFramePr>
        <xdr:cNvPr id="7" name="Chart 6">
          <a:extLst>
            <a:ext uri="{FF2B5EF4-FFF2-40B4-BE49-F238E27FC236}">
              <a16:creationId xmlns:a16="http://schemas.microsoft.com/office/drawing/2014/main" id="{00000000-0008-0000-08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Sources" displayName="tblSources" ref="A5:N16">
  <autoFilter ref="A5:N16" xr:uid="{00000000-0009-0000-0100-000001000000}"/>
  <tableColumns count="14">
    <tableColumn id="1" xr3:uid="{00000000-0010-0000-0000-000001000000}" name="Source Id"/>
    <tableColumn id="2" xr3:uid="{00000000-0010-0000-0000-000002000000}" name="Document Title"/>
    <tableColumn id="3" xr3:uid="{00000000-0010-0000-0000-000003000000}" name="Publisher"/>
    <tableColumn id="4" xr3:uid="{00000000-0010-0000-0000-000004000000}" name="Publication Date"/>
    <tableColumn id="5" xr3:uid="{00000000-0010-0000-0000-000005000000}" name="Reporting Period"/>
    <tableColumn id="6" xr3:uid="{00000000-0010-0000-0000-000006000000}" name="Url"/>
    <tableColumn id="7" xr3:uid="{00000000-0010-0000-0000-000007000000}" name="Page Table Reference"/>
    <tableColumn id="8" xr3:uid="{00000000-0010-0000-0000-000008000000}" name="Currency"/>
    <tableColumn id="9" xr3:uid="{00000000-0010-0000-0000-000009000000}" name="Unit"/>
    <tableColumn id="10" xr3:uid="{00000000-0010-0000-0000-00000A000000}" name="Accounting Basis"/>
    <tableColumn id="11" xr3:uid="{00000000-0010-0000-0000-00000B000000}" name="Audit Status"/>
    <tableColumn id="12" xr3:uid="{00000000-0010-0000-0000-00000C000000}" name="Extraction Method"/>
    <tableColumn id="13" xr3:uid="{00000000-0010-0000-0000-00000D000000}" name="Used For"/>
    <tableColumn id="14" xr3:uid="{00000000-0010-0000-0000-00000E000000}" name="Accessed Dat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blQ" displayName="tblQ" ref="A5:R48">
  <autoFilter ref="A5:R48" xr:uid="{00000000-0009-0000-0100-000002000000}"/>
  <tableColumns count="18">
    <tableColumn id="1" xr3:uid="{00000000-0010-0000-0100-000001000000}" name="Code"/>
    <tableColumn id="2" xr3:uid="{00000000-0010-0000-0100-000002000000}" name="Line item"/>
    <tableColumn id="3" xr3:uid="{00000000-0010-0000-0100-000003000000}" name="Unit"/>
    <tableColumn id="4" xr3:uid="{00000000-0010-0000-0100-000004000000}" name="Q1 23"/>
    <tableColumn id="5" xr3:uid="{00000000-0010-0000-0100-000005000000}" name="Q2 23"/>
    <tableColumn id="6" xr3:uid="{00000000-0010-0000-0100-000006000000}" name="Q3 23"/>
    <tableColumn id="7" xr3:uid="{00000000-0010-0000-0100-000007000000}" name="Q4 23"/>
    <tableColumn id="8" xr3:uid="{00000000-0010-0000-0100-000008000000}" name="Q1 24"/>
    <tableColumn id="9" xr3:uid="{00000000-0010-0000-0100-000009000000}" name="Q2 24"/>
    <tableColumn id="10" xr3:uid="{00000000-0010-0000-0100-00000A000000}" name="Q3 24"/>
    <tableColumn id="11" xr3:uid="{00000000-0010-0000-0100-00000B000000}" name="Q4 24"/>
    <tableColumn id="12" xr3:uid="{00000000-0010-0000-0100-00000C000000}" name="Q1 25"/>
    <tableColumn id="13" xr3:uid="{00000000-0010-0000-0100-00000D000000}" name="Q2 25"/>
    <tableColumn id="14" xr3:uid="{00000000-0010-0000-0100-00000E000000}" name="Q3 25"/>
    <tableColumn id="15" xr3:uid="{00000000-0010-0000-0100-00000F000000}" name="Q4 25"/>
    <tableColumn id="16" xr3:uid="{00000000-0010-0000-0100-000010000000}" name="Q1 26"/>
    <tableColumn id="17" xr3:uid="{00000000-0010-0000-0100-000011000000}" name="Q2 26"/>
    <tableColumn id="18" xr3:uid="{00000000-0010-0000-0100-000012000000}" name="Sourc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blRep" displayName="tblRep" ref="A53:I87">
  <autoFilter ref="A53:I87" xr:uid="{00000000-0009-0000-0100-000003000000}"/>
  <tableColumns count="9">
    <tableColumn id="1" xr3:uid="{00000000-0010-0000-0200-000001000000}" name="Code"/>
    <tableColumn id="2" xr3:uid="{00000000-0010-0000-0200-000002000000}" name="Line item"/>
    <tableColumn id="3" xr3:uid="{00000000-0010-0000-0200-000003000000}" name="Unit"/>
    <tableColumn id="4" xr3:uid="{00000000-0010-0000-0200-000004000000}" name="FY2023"/>
    <tableColumn id="5" xr3:uid="{00000000-0010-0000-0200-000005000000}" name="FY2024"/>
    <tableColumn id="6" xr3:uid="{00000000-0010-0000-0200-000006000000}" name="FY2025"/>
    <tableColumn id="7" xr3:uid="{00000000-0010-0000-0200-000007000000}" name="H1 2025"/>
    <tableColumn id="8" xr3:uid="{00000000-0010-0000-0200-000008000000}" name="H1 2026"/>
    <tableColumn id="9" xr3:uid="{00000000-0010-0000-0200-000009000000}" name="Sourc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blPoland" displayName="tblPoland" ref="A92:F113">
  <autoFilter ref="A92:F113" xr:uid="{00000000-0009-0000-0100-000004000000}"/>
  <tableColumns count="6">
    <tableColumn id="1" xr3:uid="{00000000-0010-0000-0300-000001000000}" name="Code"/>
    <tableColumn id="2" xr3:uid="{00000000-0010-0000-0300-000002000000}" name="Line item"/>
    <tableColumn id="3" xr3:uid="{00000000-0010-0000-0300-000003000000}" name="Unit"/>
    <tableColumn id="4" xr3:uid="{00000000-0010-0000-0300-000004000000}" name="Q1 26"/>
    <tableColumn id="5" xr3:uid="{00000000-0010-0000-0300-000005000000}" name="Q2 26"/>
    <tableColumn id="6" xr3:uid="{00000000-0010-0000-0300-000006000000}" name="Sourc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blDisclosed" displayName="tblDisclosed" ref="A118:H131">
  <autoFilter ref="A118:H131" xr:uid="{00000000-0009-0000-0100-000005000000}"/>
  <tableColumns count="8">
    <tableColumn id="1" xr3:uid="{00000000-0010-0000-0400-000001000000}" name="ID"/>
    <tableColumn id="2" xr3:uid="{00000000-0010-0000-0400-000002000000}" name="Period"/>
    <tableColumn id="3" xr3:uid="{00000000-0010-0000-0400-000003000000}" name="Item"/>
    <tableColumn id="4" xr3:uid="{00000000-0010-0000-0400-000004000000}" name="Value"/>
    <tableColumn id="5" xr3:uid="{00000000-0010-0000-0400-000005000000}" name="Unit"/>
    <tableColumn id="6" xr3:uid="{00000000-0010-0000-0400-000006000000}" name="P&amp;L line"/>
    <tableColumn id="7" xr3:uid="{00000000-0010-0000-0400-000007000000}" name="Source"/>
    <tableColumn id="8" xr3:uid="{00000000-0010-0000-0400-000008000000}" name="Referenc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blKPI" displayName="tblKPI" ref="A5:I21">
  <autoFilter ref="A5:I21" xr:uid="{00000000-0009-0000-0100-000006000000}"/>
  <tableColumns count="9">
    <tableColumn id="1" xr3:uid="{00000000-0010-0000-0500-000001000000}" name="KPI"/>
    <tableColumn id="2" xr3:uid="{00000000-0010-0000-0500-000002000000}" name="Definition"/>
    <tableColumn id="3" xr3:uid="{00000000-0010-0000-0500-000003000000}" name="Numerator"/>
    <tableColumn id="4" xr3:uid="{00000000-0010-0000-0500-000004000000}" name="Denominator"/>
    <tableColumn id="5" xr3:uid="{00000000-0010-0000-0500-000005000000}" name="Period basis"/>
    <tableColumn id="6" xr3:uid="{00000000-0010-0000-0500-000006000000}" name="Unit"/>
    <tableColumn id="7" xr3:uid="{00000000-0010-0000-0500-000007000000}" name="Missing or misleading values"/>
    <tableColumn id="8" xr3:uid="{00000000-0010-0000-0500-000008000000}" name="Source of definition"/>
    <tableColumn id="9" xr3:uid="{00000000-0010-0000-0500-000009000000}" name="Where used"/>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blAssump" displayName="tblAssump" ref="A7:K29">
  <autoFilter ref="A7:K29" xr:uid="{00000000-0009-0000-0100-000007000000}"/>
  <tableColumns count="11">
    <tableColumn id="1" xr3:uid="{00000000-0010-0000-0600-000001000000}" name="ID"/>
    <tableColumn id="2" xr3:uid="{00000000-0010-0000-0600-000002000000}" name="Driver"/>
    <tableColumn id="3" xr3:uid="{00000000-0010-0000-0600-000003000000}" name="Unit"/>
    <tableColumn id="4" xr3:uid="{00000000-0010-0000-0600-000004000000}" name="Applies to"/>
    <tableColumn id="5" xr3:uid="{00000000-0010-0000-0600-000005000000}" name="Base"/>
    <tableColumn id="6" xr3:uid="{00000000-0010-0000-0600-000006000000}" name="Upside"/>
    <tableColumn id="7" xr3:uid="{00000000-0010-0000-0600-000007000000}" name="Downside"/>
    <tableColumn id="8" xr3:uid="{00000000-0010-0000-0600-000008000000}" name="Live"/>
    <tableColumn id="9" xr3:uid="{00000000-0010-0000-0600-000009000000}" name="Historical reference"/>
    <tableColumn id="10" xr3:uid="{00000000-0010-0000-0600-00000A000000}" name="Reference basis"/>
    <tableColumn id="11" xr3:uid="{00000000-0010-0000-0600-00000B000000}" name="Rationale"/>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blPlan" displayName="tblPlan" ref="A33:G45">
  <autoFilter ref="A33:G45" xr:uid="{00000000-0009-0000-0100-000008000000}"/>
  <tableColumns count="7">
    <tableColumn id="1" xr3:uid="{00000000-0010-0000-0700-000001000000}" name="ID"/>
    <tableColumn id="2" xr3:uid="{00000000-0010-0000-0700-000002000000}" name="Plan line"/>
    <tableColumn id="3" xr3:uid="{00000000-0010-0000-0700-000003000000}" name="Unit"/>
    <tableColumn id="4" xr3:uid="{00000000-0010-0000-0700-000004000000}" name="FY2026 plan"/>
    <tableColumn id="5" xr3:uid="{00000000-0010-0000-0700-000005000000}" name="H1 phasing"/>
    <tableColumn id="6" xr3:uid="{00000000-0010-0000-0700-000006000000}" name="Historical H1 share"/>
    <tableColumn id="7" xr3:uid="{00000000-0010-0000-0700-000007000000}" name="Basis"/>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blChecks" displayName="tblChecks" ref="A6:I55">
  <autoFilter ref="A6:I55" xr:uid="{00000000-0009-0000-0100-000009000000}"/>
  <tableColumns count="9">
    <tableColumn id="1" xr3:uid="{00000000-0010-0000-0800-000001000000}" name="ID"/>
    <tableColumn id="2" xr3:uid="{00000000-0010-0000-0800-000002000000}" name="Category"/>
    <tableColumn id="3" xr3:uid="{00000000-0010-0000-0800-000003000000}" name="Check"/>
    <tableColumn id="4" xr3:uid="{00000000-0010-0000-0800-000004000000}" name="A (model)"/>
    <tableColumn id="5" xr3:uid="{00000000-0010-0000-0800-000005000000}" name="B (reference)"/>
    <tableColumn id="6" xr3:uid="{00000000-0010-0000-0800-000006000000}" name="Difference"/>
    <tableColumn id="7" xr3:uid="{00000000-0010-0000-0800-000007000000}" name="Tolerance"/>
    <tableColumn id="8" xr3:uid="{00000000-0010-0000-0800-000008000000}" name="Status"/>
    <tableColumn id="9" xr3:uid="{00000000-0010-0000-0800-000009000000}" name="Comment"/>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 Id="rId4" Type="http://schemas.openxmlformats.org/officeDocument/2006/relationships/table" Target="../tables/table5.xml"/></Relationships>
</file>

<file path=xl/worksheets/_rels/sheet4.xml.rels><?xml version="1.0" encoding="UTF-8" standalone="yes"?>
<Relationships xmlns="http://schemas.openxmlformats.org/package/2006/relationships"><Relationship Id="rId1" Type="http://schemas.openxmlformats.org/officeDocument/2006/relationships/table" Target="../tables/table6.xml"/></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9"/>
  <sheetViews>
    <sheetView showGridLines="0" tabSelected="1" workbookViewId="0"/>
  </sheetViews>
  <sheetFormatPr baseColWidth="10" defaultColWidth="8.83203125" defaultRowHeight="15" x14ac:dyDescent="0.2"/>
  <cols>
    <col min="1" max="1" width="28" customWidth="1"/>
    <col min="2" max="2" width="150" customWidth="1"/>
  </cols>
  <sheetData>
    <row r="1" spans="1:2" ht="19" x14ac:dyDescent="0.25">
      <c r="A1" s="1" t="s">
        <v>0</v>
      </c>
    </row>
    <row r="2" spans="1:2" x14ac:dyDescent="0.2">
      <c r="A2" s="2" t="s">
        <v>1</v>
      </c>
    </row>
    <row r="3" spans="1:2" x14ac:dyDescent="0.2">
      <c r="A3" s="3" t="s">
        <v>2</v>
      </c>
    </row>
    <row r="4" spans="1:2" x14ac:dyDescent="0.2">
      <c r="A4" s="4" t="str">
        <f>"Controls status (after recalculation in Excel): "&amp;Checks!B4</f>
        <v>Controls status (after recalculation in Excel): ALL 49 CHECKS PASS</v>
      </c>
    </row>
    <row r="6" spans="1:2" ht="15" customHeight="1" x14ac:dyDescent="0.2">
      <c r="A6" s="5" t="s">
        <v>3</v>
      </c>
      <c r="B6" s="6" t="s">
        <v>4</v>
      </c>
    </row>
    <row r="7" spans="1:2" ht="15" customHeight="1" x14ac:dyDescent="0.2">
      <c r="A7" s="5" t="s">
        <v>5</v>
      </c>
      <c r="B7" s="6" t="s">
        <v>6</v>
      </c>
    </row>
    <row r="8" spans="1:2" ht="30" customHeight="1" x14ac:dyDescent="0.2">
      <c r="A8" s="5" t="s">
        <v>7</v>
      </c>
      <c r="B8" s="6" t="s">
        <v>8</v>
      </c>
    </row>
    <row r="9" spans="1:2" ht="30" customHeight="1" x14ac:dyDescent="0.2">
      <c r="A9" s="5" t="s">
        <v>9</v>
      </c>
      <c r="B9" s="6" t="s">
        <v>10</v>
      </c>
    </row>
    <row r="10" spans="1:2" ht="60" customHeight="1" x14ac:dyDescent="0.2">
      <c r="A10" s="5" t="s">
        <v>11</v>
      </c>
      <c r="B10" s="6" t="s">
        <v>12</v>
      </c>
    </row>
    <row r="11" spans="1:2" ht="15" customHeight="1" x14ac:dyDescent="0.2">
      <c r="A11" s="5" t="s">
        <v>13</v>
      </c>
      <c r="B11" s="6" t="s">
        <v>14</v>
      </c>
    </row>
    <row r="12" spans="1:2" ht="45" customHeight="1" x14ac:dyDescent="0.2">
      <c r="A12" s="5" t="s">
        <v>15</v>
      </c>
      <c r="B12" s="6" t="s">
        <v>16</v>
      </c>
    </row>
    <row r="13" spans="1:2" ht="30" customHeight="1" x14ac:dyDescent="0.2">
      <c r="A13" s="5" t="s">
        <v>17</v>
      </c>
      <c r="B13" s="6" t="s">
        <v>18</v>
      </c>
    </row>
    <row r="14" spans="1:2" ht="30" customHeight="1" x14ac:dyDescent="0.2">
      <c r="A14" s="5" t="s">
        <v>19</v>
      </c>
      <c r="B14" s="6" t="s">
        <v>20</v>
      </c>
    </row>
    <row r="15" spans="1:2" ht="30" customHeight="1" x14ac:dyDescent="0.2">
      <c r="A15" s="5" t="s">
        <v>21</v>
      </c>
      <c r="B15" s="6" t="s">
        <v>22</v>
      </c>
    </row>
    <row r="16" spans="1:2" ht="30" customHeight="1" x14ac:dyDescent="0.2">
      <c r="A16" s="5" t="s">
        <v>23</v>
      </c>
      <c r="B16" s="6" t="s">
        <v>24</v>
      </c>
    </row>
    <row r="17" spans="1:2" ht="30" customHeight="1" x14ac:dyDescent="0.2">
      <c r="A17" s="5" t="s">
        <v>25</v>
      </c>
      <c r="B17" s="6" t="s">
        <v>26</v>
      </c>
    </row>
    <row r="18" spans="1:2" ht="30" customHeight="1" x14ac:dyDescent="0.2">
      <c r="A18" s="5" t="s">
        <v>27</v>
      </c>
      <c r="B18" s="6" t="s">
        <v>28</v>
      </c>
    </row>
    <row r="19" spans="1:2" ht="30" customHeight="1" x14ac:dyDescent="0.2">
      <c r="A19" s="5" t="s">
        <v>29</v>
      </c>
      <c r="B19" s="6" t="s">
        <v>30</v>
      </c>
    </row>
  </sheetData>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6"/>
  <sheetViews>
    <sheetView showGridLines="0" workbookViewId="0">
      <pane xSplit="1" ySplit="5" topLeftCell="B6" activePane="bottomRight" state="frozen"/>
      <selection pane="topRight"/>
      <selection pane="bottomLeft"/>
      <selection pane="bottomRight"/>
    </sheetView>
  </sheetViews>
  <sheetFormatPr baseColWidth="10" defaultColWidth="8.83203125" defaultRowHeight="15" x14ac:dyDescent="0.2"/>
  <cols>
    <col min="1" max="1" width="9" customWidth="1"/>
    <col min="2" max="2" width="48" customWidth="1"/>
    <col min="3" max="3" width="24" customWidth="1"/>
    <col min="4" max="4" width="32" customWidth="1"/>
    <col min="5" max="5" width="30" customWidth="1"/>
    <col min="6" max="6" width="60" customWidth="1"/>
    <col min="7" max="7" width="40" customWidth="1"/>
    <col min="8" max="8" width="9" customWidth="1"/>
    <col min="9" max="9" width="26" customWidth="1"/>
    <col min="10" max="11" width="36" customWidth="1"/>
    <col min="12" max="12" width="40" customWidth="1"/>
    <col min="13" max="13" width="44" customWidth="1"/>
    <col min="14" max="14" width="13" customWidth="1"/>
  </cols>
  <sheetData>
    <row r="1" spans="1:14" ht="19" x14ac:dyDescent="0.25">
      <c r="A1" s="1" t="s">
        <v>31</v>
      </c>
    </row>
    <row r="2" spans="1:14" x14ac:dyDescent="0.2">
      <c r="A2" s="2" t="s">
        <v>32</v>
      </c>
    </row>
    <row r="3" spans="1:14" x14ac:dyDescent="0.2">
      <c r="A3" s="3" t="s">
        <v>33</v>
      </c>
    </row>
    <row r="5" spans="1:14" x14ac:dyDescent="0.2">
      <c r="A5" s="7" t="s">
        <v>34</v>
      </c>
      <c r="B5" s="7" t="s">
        <v>35</v>
      </c>
      <c r="C5" s="7" t="s">
        <v>36</v>
      </c>
      <c r="D5" s="7" t="s">
        <v>37</v>
      </c>
      <c r="E5" s="7" t="s">
        <v>38</v>
      </c>
      <c r="F5" s="7" t="s">
        <v>39</v>
      </c>
      <c r="G5" s="7" t="s">
        <v>40</v>
      </c>
      <c r="H5" s="7" t="s">
        <v>41</v>
      </c>
      <c r="I5" s="7" t="s">
        <v>42</v>
      </c>
      <c r="J5" s="7" t="s">
        <v>43</v>
      </c>
      <c r="K5" s="7" t="s">
        <v>44</v>
      </c>
      <c r="L5" s="7" t="s">
        <v>45</v>
      </c>
      <c r="M5" s="7" t="s">
        <v>46</v>
      </c>
      <c r="N5" s="7" t="s">
        <v>47</v>
      </c>
    </row>
    <row r="6" spans="1:14" ht="30" x14ac:dyDescent="0.2">
      <c r="A6" s="5" t="s">
        <v>48</v>
      </c>
      <c r="B6" s="6" t="s">
        <v>49</v>
      </c>
      <c r="C6" s="6" t="s">
        <v>50</v>
      </c>
      <c r="D6" s="6" t="s">
        <v>51</v>
      </c>
      <c r="E6" s="6" t="s">
        <v>52</v>
      </c>
      <c r="F6" s="6" t="s">
        <v>53</v>
      </c>
      <c r="G6" s="6" t="s">
        <v>54</v>
      </c>
      <c r="H6" s="6" t="s">
        <v>55</v>
      </c>
      <c r="I6" s="6" t="s">
        <v>56</v>
      </c>
      <c r="J6" s="6" t="s">
        <v>57</v>
      </c>
      <c r="K6" s="6" t="s">
        <v>58</v>
      </c>
      <c r="L6" s="6" t="s">
        <v>59</v>
      </c>
      <c r="M6" s="6" t="s">
        <v>60</v>
      </c>
      <c r="N6" s="6" t="s">
        <v>61</v>
      </c>
    </row>
    <row r="7" spans="1:14" ht="30" x14ac:dyDescent="0.2">
      <c r="A7" s="5" t="s">
        <v>62</v>
      </c>
      <c r="B7" s="6" t="s">
        <v>63</v>
      </c>
      <c r="C7" s="6" t="s">
        <v>50</v>
      </c>
      <c r="D7" s="6" t="s">
        <v>64</v>
      </c>
      <c r="E7" s="6" t="s">
        <v>65</v>
      </c>
      <c r="F7" s="6" t="s">
        <v>66</v>
      </c>
      <c r="G7" s="6" t="s">
        <v>67</v>
      </c>
      <c r="H7" s="6" t="s">
        <v>55</v>
      </c>
      <c r="I7" s="6" t="s">
        <v>68</v>
      </c>
      <c r="J7" s="6" t="s">
        <v>57</v>
      </c>
      <c r="K7" s="6" t="s">
        <v>69</v>
      </c>
      <c r="L7" s="6" t="s">
        <v>59</v>
      </c>
      <c r="M7" s="6" t="s">
        <v>70</v>
      </c>
      <c r="N7" s="6" t="s">
        <v>61</v>
      </c>
    </row>
    <row r="8" spans="1:14" ht="30" x14ac:dyDescent="0.2">
      <c r="A8" s="5" t="s">
        <v>71</v>
      </c>
      <c r="B8" s="6" t="s">
        <v>72</v>
      </c>
      <c r="C8" s="6" t="s">
        <v>50</v>
      </c>
      <c r="D8" s="6" t="s">
        <v>73</v>
      </c>
      <c r="E8" s="6" t="s">
        <v>74</v>
      </c>
      <c r="F8" s="6" t="s">
        <v>75</v>
      </c>
      <c r="G8" s="6" t="s">
        <v>54</v>
      </c>
      <c r="H8" s="6" t="s">
        <v>55</v>
      </c>
      <c r="I8" s="6" t="s">
        <v>76</v>
      </c>
      <c r="J8" s="6" t="s">
        <v>57</v>
      </c>
      <c r="K8" s="6" t="s">
        <v>58</v>
      </c>
      <c r="L8" s="6" t="s">
        <v>59</v>
      </c>
      <c r="M8" s="6" t="s">
        <v>77</v>
      </c>
      <c r="N8" s="6" t="s">
        <v>61</v>
      </c>
    </row>
    <row r="9" spans="1:14" ht="45" x14ac:dyDescent="0.2">
      <c r="A9" s="5" t="s">
        <v>78</v>
      </c>
      <c r="B9" s="6" t="s">
        <v>79</v>
      </c>
      <c r="C9" s="6" t="s">
        <v>50</v>
      </c>
      <c r="D9" s="6" t="s">
        <v>80</v>
      </c>
      <c r="E9" s="6" t="s">
        <v>81</v>
      </c>
      <c r="F9" s="6" t="s">
        <v>82</v>
      </c>
      <c r="G9" s="6" t="s">
        <v>83</v>
      </c>
      <c r="H9" s="6" t="s">
        <v>55</v>
      </c>
      <c r="I9" s="6" t="s">
        <v>84</v>
      </c>
      <c r="J9" s="6" t="s">
        <v>57</v>
      </c>
      <c r="K9" s="6" t="s">
        <v>58</v>
      </c>
      <c r="L9" s="6" t="s">
        <v>85</v>
      </c>
      <c r="M9" s="6" t="s">
        <v>86</v>
      </c>
      <c r="N9" s="6" t="s">
        <v>61</v>
      </c>
    </row>
    <row r="10" spans="1:14" ht="45" x14ac:dyDescent="0.2">
      <c r="A10" s="5" t="s">
        <v>87</v>
      </c>
      <c r="B10" s="6" t="s">
        <v>88</v>
      </c>
      <c r="C10" s="6" t="s">
        <v>50</v>
      </c>
      <c r="D10" s="6" t="s">
        <v>89</v>
      </c>
      <c r="E10" s="6" t="s">
        <v>90</v>
      </c>
      <c r="F10" s="6" t="s">
        <v>91</v>
      </c>
      <c r="G10" s="6" t="s">
        <v>92</v>
      </c>
      <c r="H10" s="6" t="s">
        <v>55</v>
      </c>
      <c r="I10" s="6" t="s">
        <v>93</v>
      </c>
      <c r="J10" s="6" t="s">
        <v>57</v>
      </c>
      <c r="K10" s="6" t="s">
        <v>94</v>
      </c>
      <c r="L10" s="6" t="s">
        <v>95</v>
      </c>
      <c r="M10" s="6" t="s">
        <v>96</v>
      </c>
      <c r="N10" s="6" t="s">
        <v>61</v>
      </c>
    </row>
    <row r="11" spans="1:14" ht="45" x14ac:dyDescent="0.2">
      <c r="A11" s="5" t="s">
        <v>97</v>
      </c>
      <c r="B11" s="6" t="s">
        <v>98</v>
      </c>
      <c r="C11" s="6" t="s">
        <v>50</v>
      </c>
      <c r="D11" s="6" t="s">
        <v>99</v>
      </c>
      <c r="E11" s="6" t="s">
        <v>100</v>
      </c>
      <c r="F11" s="6" t="s">
        <v>101</v>
      </c>
      <c r="G11" s="6" t="s">
        <v>102</v>
      </c>
      <c r="H11" s="6" t="s">
        <v>55</v>
      </c>
      <c r="I11" s="6" t="s">
        <v>93</v>
      </c>
      <c r="J11" s="6" t="s">
        <v>103</v>
      </c>
      <c r="K11" s="6" t="s">
        <v>104</v>
      </c>
      <c r="L11" s="6" t="s">
        <v>95</v>
      </c>
      <c r="M11" s="6" t="s">
        <v>105</v>
      </c>
      <c r="N11" s="6" t="s">
        <v>61</v>
      </c>
    </row>
    <row r="12" spans="1:14" ht="45" x14ac:dyDescent="0.2">
      <c r="A12" s="5" t="s">
        <v>106</v>
      </c>
      <c r="B12" s="6" t="s">
        <v>107</v>
      </c>
      <c r="C12" s="6" t="s">
        <v>108</v>
      </c>
      <c r="D12" s="6" t="s">
        <v>109</v>
      </c>
      <c r="E12" s="6" t="s">
        <v>110</v>
      </c>
      <c r="F12" s="6" t="s">
        <v>111</v>
      </c>
      <c r="G12" s="6" t="s">
        <v>112</v>
      </c>
      <c r="H12" s="6" t="s">
        <v>55</v>
      </c>
      <c r="I12" s="6" t="s">
        <v>76</v>
      </c>
      <c r="J12" s="6" t="s">
        <v>103</v>
      </c>
      <c r="K12" s="6" t="s">
        <v>113</v>
      </c>
      <c r="L12" s="6" t="s">
        <v>114</v>
      </c>
      <c r="M12" s="6" t="s">
        <v>115</v>
      </c>
      <c r="N12" s="6" t="s">
        <v>61</v>
      </c>
    </row>
    <row r="13" spans="1:14" ht="30" x14ac:dyDescent="0.2">
      <c r="A13" s="5" t="s">
        <v>116</v>
      </c>
      <c r="B13" s="6" t="s">
        <v>117</v>
      </c>
      <c r="C13" s="6" t="s">
        <v>50</v>
      </c>
      <c r="D13" s="6" t="s">
        <v>109</v>
      </c>
      <c r="E13" s="6" t="s">
        <v>118</v>
      </c>
      <c r="F13" s="6" t="s">
        <v>119</v>
      </c>
      <c r="G13" s="6" t="s">
        <v>120</v>
      </c>
      <c r="H13" s="6" t="s">
        <v>55</v>
      </c>
      <c r="I13" s="6" t="s">
        <v>121</v>
      </c>
      <c r="J13" s="6" t="s">
        <v>103</v>
      </c>
      <c r="K13" s="6" t="s">
        <v>104</v>
      </c>
      <c r="L13" s="6" t="s">
        <v>122</v>
      </c>
      <c r="M13" s="6" t="s">
        <v>123</v>
      </c>
      <c r="N13" s="6" t="s">
        <v>61</v>
      </c>
    </row>
    <row r="14" spans="1:14" ht="30" x14ac:dyDescent="0.2">
      <c r="A14" s="5" t="s">
        <v>124</v>
      </c>
      <c r="B14" s="6" t="s">
        <v>125</v>
      </c>
      <c r="C14" s="6" t="s">
        <v>50</v>
      </c>
      <c r="D14" s="6" t="s">
        <v>126</v>
      </c>
      <c r="E14" s="6" t="s">
        <v>127</v>
      </c>
      <c r="F14" s="6" t="s">
        <v>128</v>
      </c>
      <c r="G14" s="6" t="s">
        <v>129</v>
      </c>
      <c r="H14" s="6" t="s">
        <v>55</v>
      </c>
      <c r="I14" s="6" t="s">
        <v>121</v>
      </c>
      <c r="J14" s="6" t="s">
        <v>57</v>
      </c>
      <c r="K14" s="6" t="s">
        <v>130</v>
      </c>
      <c r="L14" s="6" t="s">
        <v>122</v>
      </c>
      <c r="M14" s="6" t="s">
        <v>131</v>
      </c>
      <c r="N14" s="6" t="s">
        <v>61</v>
      </c>
    </row>
    <row r="15" spans="1:14" ht="45" x14ac:dyDescent="0.2">
      <c r="A15" s="5" t="s">
        <v>132</v>
      </c>
      <c r="B15" s="6" t="s">
        <v>133</v>
      </c>
      <c r="C15" s="6" t="s">
        <v>108</v>
      </c>
      <c r="D15" s="6" t="s">
        <v>134</v>
      </c>
      <c r="E15" s="6" t="s">
        <v>135</v>
      </c>
      <c r="F15" s="6" t="s">
        <v>136</v>
      </c>
      <c r="G15" s="6" t="s">
        <v>137</v>
      </c>
      <c r="H15" s="6" t="s">
        <v>55</v>
      </c>
      <c r="I15" s="6" t="s">
        <v>76</v>
      </c>
      <c r="J15" s="6" t="s">
        <v>138</v>
      </c>
      <c r="K15" s="6" t="s">
        <v>139</v>
      </c>
      <c r="L15" s="6" t="s">
        <v>140</v>
      </c>
      <c r="M15" s="6" t="s">
        <v>141</v>
      </c>
      <c r="N15" s="6" t="s">
        <v>61</v>
      </c>
    </row>
    <row r="16" spans="1:14" ht="30" x14ac:dyDescent="0.2">
      <c r="A16" s="5" t="s">
        <v>142</v>
      </c>
      <c r="B16" s="6" t="s">
        <v>143</v>
      </c>
      <c r="C16" s="6" t="s">
        <v>108</v>
      </c>
      <c r="D16" s="6" t="s">
        <v>144</v>
      </c>
      <c r="E16" s="6" t="s">
        <v>135</v>
      </c>
      <c r="F16" s="6" t="s">
        <v>145</v>
      </c>
      <c r="G16" s="6" t="s">
        <v>146</v>
      </c>
      <c r="H16" s="6" t="s">
        <v>147</v>
      </c>
      <c r="I16" s="6" t="s">
        <v>147</v>
      </c>
      <c r="J16" s="6" t="s">
        <v>147</v>
      </c>
      <c r="K16" s="6" t="s">
        <v>147</v>
      </c>
      <c r="L16" s="6" t="s">
        <v>140</v>
      </c>
      <c r="M16" s="6" t="s">
        <v>148</v>
      </c>
      <c r="N16" s="6" t="s">
        <v>61</v>
      </c>
    </row>
  </sheetData>
  <pageMargins left="0.75" right="0.75" top="1" bottom="1" header="0.5" footer="0.5"/>
  <pageSetup fitToHeight="0" orientation="landscape"/>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131"/>
  <sheetViews>
    <sheetView showGridLines="0" workbookViewId="0">
      <pane xSplit="3" ySplit="5" topLeftCell="D6" activePane="bottomRight" state="frozen"/>
      <selection pane="topRight"/>
      <selection pane="bottomLeft"/>
      <selection pane="bottomRight"/>
    </sheetView>
  </sheetViews>
  <sheetFormatPr baseColWidth="10" defaultColWidth="8.83203125" defaultRowHeight="15" x14ac:dyDescent="0.2"/>
  <cols>
    <col min="1" max="1" width="18" customWidth="1"/>
    <col min="2" max="2" width="62" customWidth="1"/>
    <col min="3" max="3" width="9" customWidth="1"/>
    <col min="4" max="17" width="11" customWidth="1"/>
    <col min="18" max="18" width="20" customWidth="1"/>
  </cols>
  <sheetData>
    <row r="1" spans="1:18" ht="19" x14ac:dyDescent="0.25">
      <c r="A1" s="1" t="s">
        <v>149</v>
      </c>
    </row>
    <row r="2" spans="1:18" x14ac:dyDescent="0.2">
      <c r="A2" s="2" t="s">
        <v>150</v>
      </c>
    </row>
    <row r="3" spans="1:18" x14ac:dyDescent="0.2">
      <c r="A3" s="3" t="s">
        <v>151</v>
      </c>
    </row>
    <row r="4" spans="1:18" x14ac:dyDescent="0.2">
      <c r="A4" s="4" t="s">
        <v>152</v>
      </c>
    </row>
    <row r="5" spans="1:18" x14ac:dyDescent="0.2">
      <c r="A5" s="7" t="s">
        <v>153</v>
      </c>
      <c r="B5" s="7" t="s">
        <v>154</v>
      </c>
      <c r="C5" s="7" t="s">
        <v>42</v>
      </c>
      <c r="D5" s="7" t="s">
        <v>155</v>
      </c>
      <c r="E5" s="7" t="s">
        <v>156</v>
      </c>
      <c r="F5" s="7" t="s">
        <v>157</v>
      </c>
      <c r="G5" s="7" t="s">
        <v>158</v>
      </c>
      <c r="H5" s="7" t="s">
        <v>159</v>
      </c>
      <c r="I5" s="7" t="s">
        <v>160</v>
      </c>
      <c r="J5" s="7" t="s">
        <v>161</v>
      </c>
      <c r="K5" s="7" t="s">
        <v>162</v>
      </c>
      <c r="L5" s="7" t="s">
        <v>163</v>
      </c>
      <c r="M5" s="7" t="s">
        <v>164</v>
      </c>
      <c r="N5" s="7" t="s">
        <v>165</v>
      </c>
      <c r="O5" s="7" t="s">
        <v>166</v>
      </c>
      <c r="P5" s="7" t="s">
        <v>167</v>
      </c>
      <c r="Q5" s="7" t="s">
        <v>168</v>
      </c>
      <c r="R5" s="7" t="s">
        <v>169</v>
      </c>
    </row>
    <row r="6" spans="1:18" x14ac:dyDescent="0.2">
      <c r="A6" s="4" t="s">
        <v>170</v>
      </c>
      <c r="B6" s="8" t="s">
        <v>171</v>
      </c>
      <c r="C6" s="8" t="s">
        <v>172</v>
      </c>
      <c r="D6" s="9">
        <v>1768.95892</v>
      </c>
      <c r="E6" s="9">
        <v>1792.150468</v>
      </c>
      <c r="F6" s="9">
        <v>1861.211783</v>
      </c>
      <c r="G6" s="9">
        <v>1805.579612</v>
      </c>
      <c r="H6" s="9">
        <v>1852.4497260000001</v>
      </c>
      <c r="I6" s="9">
        <v>1835.001223</v>
      </c>
      <c r="J6" s="9">
        <v>1903.244788</v>
      </c>
      <c r="K6" s="9">
        <v>1937.57044</v>
      </c>
      <c r="L6" s="9">
        <v>1872.060686</v>
      </c>
      <c r="M6" s="9">
        <v>1914.351547</v>
      </c>
      <c r="N6" s="9">
        <v>1974.5601549999999</v>
      </c>
      <c r="O6" s="9">
        <v>2027.4495710000001</v>
      </c>
      <c r="P6" s="9">
        <v>2673.7712080000001</v>
      </c>
      <c r="Q6" s="9">
        <v>2712.6305139999999</v>
      </c>
      <c r="R6" s="8" t="s">
        <v>173</v>
      </c>
    </row>
    <row r="7" spans="1:18" x14ac:dyDescent="0.2">
      <c r="A7" s="4" t="s">
        <v>174</v>
      </c>
      <c r="B7" s="8" t="s">
        <v>175</v>
      </c>
      <c r="C7" s="8" t="s">
        <v>172</v>
      </c>
      <c r="D7" s="9">
        <v>642.71155499999998</v>
      </c>
      <c r="E7" s="9">
        <v>631.94690000000003</v>
      </c>
      <c r="F7" s="9">
        <v>662.94289100000003</v>
      </c>
      <c r="G7" s="9">
        <v>701.98929999999996</v>
      </c>
      <c r="H7" s="9">
        <v>712.21261000000004</v>
      </c>
      <c r="I7" s="9">
        <v>710.67326500000001</v>
      </c>
      <c r="J7" s="9">
        <v>734.95656199999996</v>
      </c>
      <c r="K7" s="9">
        <v>779.74474399999997</v>
      </c>
      <c r="L7" s="9">
        <v>780.00599399999999</v>
      </c>
      <c r="M7" s="9">
        <v>761.66000599999995</v>
      </c>
      <c r="N7" s="9">
        <v>798.41925100000003</v>
      </c>
      <c r="O7" s="9">
        <v>850.44345999999996</v>
      </c>
      <c r="P7" s="9">
        <v>964.65442700000006</v>
      </c>
      <c r="Q7" s="9">
        <v>964.10427400000003</v>
      </c>
      <c r="R7" s="8" t="s">
        <v>173</v>
      </c>
    </row>
    <row r="8" spans="1:18" x14ac:dyDescent="0.2">
      <c r="A8" s="4" t="s">
        <v>176</v>
      </c>
      <c r="B8" s="8" t="s">
        <v>177</v>
      </c>
      <c r="C8" s="8" t="s">
        <v>172</v>
      </c>
      <c r="D8" s="9">
        <v>6.2593750000000004</v>
      </c>
      <c r="E8" s="9">
        <v>17.093104</v>
      </c>
      <c r="F8" s="9">
        <v>5.780805</v>
      </c>
      <c r="G8" s="9">
        <v>8.9621390000000005</v>
      </c>
      <c r="H8" s="9">
        <v>3.597499</v>
      </c>
      <c r="I8" s="9">
        <v>24.210864000000001</v>
      </c>
      <c r="J8" s="9">
        <v>6.7568710000000003</v>
      </c>
      <c r="K8" s="9">
        <v>4.8255610000000004</v>
      </c>
      <c r="L8" s="9">
        <v>3.0920040000000002</v>
      </c>
      <c r="M8" s="9">
        <v>25.723751</v>
      </c>
      <c r="N8" s="9">
        <v>2.9374889999999998</v>
      </c>
      <c r="O8" s="9">
        <v>4.1313880000000003</v>
      </c>
      <c r="P8" s="9">
        <v>3.8409010000000001</v>
      </c>
      <c r="Q8" s="9">
        <v>41.211886</v>
      </c>
      <c r="R8" s="8" t="s">
        <v>173</v>
      </c>
    </row>
    <row r="9" spans="1:18" x14ac:dyDescent="0.2">
      <c r="A9" s="4" t="s">
        <v>178</v>
      </c>
      <c r="B9" s="8" t="s">
        <v>179</v>
      </c>
      <c r="C9" s="8" t="s">
        <v>172</v>
      </c>
      <c r="D9" s="9">
        <v>116.683317</v>
      </c>
      <c r="E9" s="9">
        <v>153.71177299999999</v>
      </c>
      <c r="F9" s="9">
        <v>67.007210999999998</v>
      </c>
      <c r="G9" s="9">
        <v>416.80412899999999</v>
      </c>
      <c r="H9" s="9">
        <v>106.443038</v>
      </c>
      <c r="I9" s="9">
        <v>30.731469000000001</v>
      </c>
      <c r="J9" s="9">
        <v>291.137632</v>
      </c>
      <c r="K9" s="9">
        <v>90.819781000000006</v>
      </c>
      <c r="L9" s="9">
        <v>46.774959000000003</v>
      </c>
      <c r="M9" s="9">
        <v>94.03904</v>
      </c>
      <c r="N9" s="9">
        <v>89.823549999999997</v>
      </c>
      <c r="O9" s="9">
        <v>82.138628999999995</v>
      </c>
      <c r="P9" s="9">
        <v>161.22498200000001</v>
      </c>
      <c r="Q9" s="9">
        <v>262.36947500000002</v>
      </c>
      <c r="R9" s="8" t="s">
        <v>173</v>
      </c>
    </row>
    <row r="10" spans="1:18" x14ac:dyDescent="0.2">
      <c r="A10" s="4" t="s">
        <v>180</v>
      </c>
      <c r="B10" s="8" t="s">
        <v>181</v>
      </c>
      <c r="C10" s="8" t="s">
        <v>172</v>
      </c>
      <c r="D10" s="9">
        <v>-81.416291999999999</v>
      </c>
      <c r="E10" s="9">
        <v>17.618948</v>
      </c>
      <c r="F10" s="9">
        <v>46.137546</v>
      </c>
      <c r="G10" s="9">
        <v>-287.98616299999998</v>
      </c>
      <c r="H10" s="9">
        <v>32.995308999999999</v>
      </c>
      <c r="I10" s="9">
        <v>78.063790999999995</v>
      </c>
      <c r="J10" s="9">
        <v>-181.05191500000001</v>
      </c>
      <c r="K10" s="9">
        <v>-12.011448</v>
      </c>
      <c r="L10" s="9">
        <v>49.968074999999999</v>
      </c>
      <c r="M10" s="9">
        <v>9.5197950000000002</v>
      </c>
      <c r="N10" s="9">
        <v>-1.8381190000000001</v>
      </c>
      <c r="O10" s="9">
        <v>48.980381999999999</v>
      </c>
      <c r="P10" s="9">
        <v>68.113071000000005</v>
      </c>
      <c r="Q10" s="9">
        <v>-28.564781</v>
      </c>
      <c r="R10" s="8" t="s">
        <v>173</v>
      </c>
    </row>
    <row r="11" spans="1:18" x14ac:dyDescent="0.2">
      <c r="A11" s="4" t="s">
        <v>182</v>
      </c>
      <c r="B11" s="8" t="s">
        <v>183</v>
      </c>
      <c r="C11" s="8" t="s">
        <v>172</v>
      </c>
      <c r="D11" s="9">
        <v>4.6096680000000001</v>
      </c>
      <c r="E11" s="9">
        <v>8.5214879999999997</v>
      </c>
      <c r="F11" s="9">
        <v>4.4294960000000003</v>
      </c>
      <c r="G11" s="9">
        <v>5.2927929999999996</v>
      </c>
      <c r="H11" s="9">
        <v>3.5121000000000002</v>
      </c>
      <c r="I11" s="9">
        <v>8.1321849999999998</v>
      </c>
      <c r="J11" s="9">
        <v>3.5116700000000001</v>
      </c>
      <c r="K11" s="9">
        <v>11.445322000000001</v>
      </c>
      <c r="L11" s="9">
        <v>7.3696200000000003</v>
      </c>
      <c r="M11" s="9">
        <v>16.090384</v>
      </c>
      <c r="N11" s="9">
        <v>9.8647799999999997</v>
      </c>
      <c r="O11" s="9">
        <v>12.720700000000001</v>
      </c>
      <c r="P11" s="9">
        <v>18.983577</v>
      </c>
      <c r="Q11" s="9">
        <v>20.526101000000001</v>
      </c>
      <c r="R11" s="8" t="s">
        <v>173</v>
      </c>
    </row>
    <row r="12" spans="1:18" x14ac:dyDescent="0.2">
      <c r="A12" s="4" t="s">
        <v>184</v>
      </c>
      <c r="B12" s="8" t="s">
        <v>185</v>
      </c>
      <c r="C12" s="8" t="s">
        <v>172</v>
      </c>
      <c r="D12" s="9">
        <v>40.914546999999999</v>
      </c>
      <c r="E12" s="9">
        <v>41.370263999999999</v>
      </c>
      <c r="F12" s="9">
        <v>44.114694999999998</v>
      </c>
      <c r="G12" s="9">
        <v>48.213166000000001</v>
      </c>
      <c r="H12" s="9">
        <v>76.685298000000003</v>
      </c>
      <c r="I12" s="9">
        <v>46.852195999999999</v>
      </c>
      <c r="J12" s="9">
        <v>39.243726000000002</v>
      </c>
      <c r="K12" s="9">
        <v>46.719045000000001</v>
      </c>
      <c r="L12" s="9">
        <v>43.055886999999998</v>
      </c>
      <c r="M12" s="9">
        <v>44.70373</v>
      </c>
      <c r="N12" s="9">
        <v>44.735303000000002</v>
      </c>
      <c r="O12" s="9">
        <v>46.109686000000004</v>
      </c>
      <c r="P12" s="9">
        <v>48.038583000000003</v>
      </c>
      <c r="Q12" s="9">
        <v>47.823597999999997</v>
      </c>
      <c r="R12" s="8" t="s">
        <v>173</v>
      </c>
    </row>
    <row r="13" spans="1:18" x14ac:dyDescent="0.2">
      <c r="A13" s="4" t="s">
        <v>186</v>
      </c>
      <c r="B13" s="8" t="s">
        <v>187</v>
      </c>
      <c r="C13" s="8" t="s">
        <v>172</v>
      </c>
      <c r="D13" s="9">
        <v>-697.51280699999995</v>
      </c>
      <c r="E13" s="9">
        <v>-761.58811400000002</v>
      </c>
      <c r="F13" s="9">
        <v>-736.30435899999998</v>
      </c>
      <c r="G13" s="9">
        <v>-795.93344300000001</v>
      </c>
      <c r="H13" s="9">
        <v>-746.45955800000002</v>
      </c>
      <c r="I13" s="9">
        <v>-787.06361400000003</v>
      </c>
      <c r="J13" s="9">
        <v>-784.53298199999995</v>
      </c>
      <c r="K13" s="9">
        <v>-884.35746700000004</v>
      </c>
      <c r="L13" s="9">
        <v>-794.40047500000003</v>
      </c>
      <c r="M13" s="9">
        <v>-829.99474799999996</v>
      </c>
      <c r="N13" s="9">
        <v>-824.13139899999999</v>
      </c>
      <c r="O13" s="9">
        <v>-886.32444599999997</v>
      </c>
      <c r="P13" s="9">
        <v>-974.41311399999995</v>
      </c>
      <c r="Q13" s="9">
        <v>-1002.124147</v>
      </c>
      <c r="R13" s="8" t="s">
        <v>173</v>
      </c>
    </row>
    <row r="14" spans="1:18" x14ac:dyDescent="0.2">
      <c r="A14" s="4" t="s">
        <v>188</v>
      </c>
      <c r="B14" s="8" t="s">
        <v>189</v>
      </c>
      <c r="C14" s="8" t="s">
        <v>172</v>
      </c>
      <c r="D14" s="9">
        <v>-408.61879499999998</v>
      </c>
      <c r="E14" s="9">
        <v>-329.56836600000003</v>
      </c>
      <c r="F14" s="9">
        <v>-323.79011500000001</v>
      </c>
      <c r="G14" s="9">
        <v>-406.49048699999997</v>
      </c>
      <c r="H14" s="9">
        <v>-401.93522400000001</v>
      </c>
      <c r="I14" s="9">
        <v>-342.70932900000003</v>
      </c>
      <c r="J14" s="9">
        <v>-341.437274</v>
      </c>
      <c r="K14" s="9">
        <v>-443.07153299999999</v>
      </c>
      <c r="L14" s="9">
        <v>-414.49230299999999</v>
      </c>
      <c r="M14" s="9">
        <v>-393.31550199999998</v>
      </c>
      <c r="N14" s="9">
        <v>-398.65725800000001</v>
      </c>
      <c r="O14" s="9">
        <v>-481.47257300000001</v>
      </c>
      <c r="P14" s="9">
        <v>-555.920207</v>
      </c>
      <c r="Q14" s="9">
        <v>-519.35288800000001</v>
      </c>
      <c r="R14" s="8" t="s">
        <v>173</v>
      </c>
    </row>
    <row r="15" spans="1:18" x14ac:dyDescent="0.2">
      <c r="A15" s="4" t="s">
        <v>190</v>
      </c>
      <c r="B15" s="8" t="s">
        <v>191</v>
      </c>
      <c r="C15" s="8" t="s">
        <v>172</v>
      </c>
      <c r="D15" s="9">
        <v>-135.91624300000001</v>
      </c>
      <c r="E15" s="9">
        <v>-139.00323</v>
      </c>
      <c r="F15" s="9">
        <v>-142.342783</v>
      </c>
      <c r="G15" s="9">
        <v>-142.53629799999999</v>
      </c>
      <c r="H15" s="9">
        <v>-134.134928</v>
      </c>
      <c r="I15" s="9">
        <v>-135.48912899999999</v>
      </c>
      <c r="J15" s="9">
        <v>-135.571338</v>
      </c>
      <c r="K15" s="9">
        <v>-142.15436</v>
      </c>
      <c r="L15" s="9">
        <v>-135.62679600000001</v>
      </c>
      <c r="M15" s="9">
        <v>-138.00590800000001</v>
      </c>
      <c r="N15" s="9">
        <v>-139.48229900000001</v>
      </c>
      <c r="O15" s="9">
        <v>-146.975844</v>
      </c>
      <c r="P15" s="9">
        <v>-240.931926</v>
      </c>
      <c r="Q15" s="9">
        <v>-244.28359699999999</v>
      </c>
      <c r="R15" s="8" t="s">
        <v>173</v>
      </c>
    </row>
    <row r="16" spans="1:18" x14ac:dyDescent="0.2">
      <c r="A16" s="4" t="s">
        <v>192</v>
      </c>
      <c r="B16" s="8" t="s">
        <v>193</v>
      </c>
      <c r="C16" s="8" t="s">
        <v>172</v>
      </c>
      <c r="D16" s="9">
        <v>-0.90262600000000004</v>
      </c>
      <c r="E16" s="9">
        <v>-0.124627</v>
      </c>
      <c r="F16" s="9">
        <v>-1.982856</v>
      </c>
      <c r="G16" s="9">
        <v>-10.206785999999999</v>
      </c>
      <c r="H16" s="9">
        <v>-2.0663670000000001</v>
      </c>
      <c r="I16" s="9">
        <v>1.2324999999999999E-2</v>
      </c>
      <c r="J16" s="9">
        <v>-24.879840999999999</v>
      </c>
      <c r="K16" s="9">
        <v>-63.002580999999999</v>
      </c>
      <c r="L16" s="9">
        <v>-5.7291249999999998</v>
      </c>
      <c r="M16" s="9">
        <v>-7.3850100000000003</v>
      </c>
      <c r="N16" s="9">
        <v>-10.268452999999999</v>
      </c>
      <c r="O16" s="9">
        <v>-26.046292000000001</v>
      </c>
      <c r="P16" s="9">
        <v>-3.316233</v>
      </c>
      <c r="Q16" s="9">
        <v>-2.0110329999999998</v>
      </c>
      <c r="R16" s="8" t="s">
        <v>173</v>
      </c>
    </row>
    <row r="17" spans="1:18" x14ac:dyDescent="0.2">
      <c r="A17" s="4" t="s">
        <v>194</v>
      </c>
      <c r="B17" s="8" t="s">
        <v>195</v>
      </c>
      <c r="C17" s="8" t="s">
        <v>172</v>
      </c>
      <c r="D17" s="9">
        <v>1.076681</v>
      </c>
      <c r="E17" s="9">
        <v>1.743905</v>
      </c>
      <c r="F17" s="9">
        <v>-3.416687</v>
      </c>
      <c r="G17" s="9">
        <v>-127.685559</v>
      </c>
      <c r="H17" s="9">
        <v>-1.144617</v>
      </c>
      <c r="I17" s="9">
        <v>1.504556</v>
      </c>
      <c r="J17" s="9">
        <v>2.9585750000000002</v>
      </c>
      <c r="K17" s="9">
        <v>-4.3411200000000001</v>
      </c>
      <c r="L17" s="9">
        <v>-0.358709</v>
      </c>
      <c r="M17" s="9">
        <v>-1.39764</v>
      </c>
      <c r="N17" s="9">
        <v>14.021094</v>
      </c>
      <c r="O17" s="9">
        <v>-3.5903930000000002</v>
      </c>
      <c r="P17" s="9">
        <v>1.689964</v>
      </c>
      <c r="Q17" s="9">
        <v>1.4059999999999999E-3</v>
      </c>
      <c r="R17" s="8" t="s">
        <v>173</v>
      </c>
    </row>
    <row r="18" spans="1:18" x14ac:dyDescent="0.2">
      <c r="A18" s="4" t="s">
        <v>196</v>
      </c>
      <c r="B18" s="8" t="s">
        <v>197</v>
      </c>
      <c r="C18" s="8" t="s">
        <v>172</v>
      </c>
      <c r="D18" s="9">
        <v>20.661296</v>
      </c>
      <c r="E18" s="9">
        <v>8.2578460000000007</v>
      </c>
      <c r="F18" s="9">
        <v>-156.45559900000001</v>
      </c>
      <c r="G18" s="9">
        <v>-0.29877700000000001</v>
      </c>
      <c r="H18" s="9">
        <v>-94.835804999999993</v>
      </c>
      <c r="I18" s="9">
        <v>-31.014509</v>
      </c>
      <c r="J18" s="9">
        <v>-85.606568999999993</v>
      </c>
      <c r="K18" s="9">
        <v>-185.554011</v>
      </c>
      <c r="L18" s="9">
        <v>-85.400171999999998</v>
      </c>
      <c r="M18" s="9">
        <v>-96.576749000000007</v>
      </c>
      <c r="N18" s="9">
        <v>-136.48262199999999</v>
      </c>
      <c r="O18" s="9">
        <v>-159.255617</v>
      </c>
      <c r="P18" s="9">
        <v>-439.23228899999998</v>
      </c>
      <c r="Q18" s="9">
        <v>-143.64205000000001</v>
      </c>
      <c r="R18" s="8" t="s">
        <v>173</v>
      </c>
    </row>
    <row r="19" spans="1:18" x14ac:dyDescent="0.2">
      <c r="A19" s="4" t="s">
        <v>198</v>
      </c>
      <c r="B19" s="8" t="s">
        <v>199</v>
      </c>
      <c r="C19" s="8" t="s">
        <v>172</v>
      </c>
      <c r="D19" s="9">
        <v>-274.34200399999997</v>
      </c>
      <c r="E19" s="9">
        <v>-8.7568490000000008</v>
      </c>
      <c r="F19" s="9">
        <v>-43.833731</v>
      </c>
      <c r="G19" s="9">
        <v>-140.96026599999999</v>
      </c>
      <c r="H19" s="9">
        <v>-123.407026</v>
      </c>
      <c r="I19" s="9">
        <v>-130.87578400000001</v>
      </c>
      <c r="J19" s="9">
        <v>-34.679062000000002</v>
      </c>
      <c r="K19" s="9">
        <v>-125.352242</v>
      </c>
      <c r="L19" s="9">
        <v>-183.90176299999999</v>
      </c>
      <c r="M19" s="9">
        <v>1.024119</v>
      </c>
      <c r="N19" s="9">
        <v>-28.636399999999998</v>
      </c>
      <c r="O19" s="9">
        <v>53.975715000000001</v>
      </c>
      <c r="P19" s="9">
        <v>-193.610028</v>
      </c>
      <c r="Q19" s="9">
        <v>-136.16839400000001</v>
      </c>
      <c r="R19" s="8" t="s">
        <v>173</v>
      </c>
    </row>
    <row r="20" spans="1:18" x14ac:dyDescent="0.2">
      <c r="A20" s="4" t="s">
        <v>200</v>
      </c>
      <c r="B20" s="8" t="s">
        <v>201</v>
      </c>
      <c r="C20" s="8" t="s">
        <v>172</v>
      </c>
      <c r="D20" s="9">
        <v>-99.111583999999993</v>
      </c>
      <c r="E20" s="9">
        <v>-21.970526</v>
      </c>
      <c r="F20" s="9">
        <v>-26.732001</v>
      </c>
      <c r="G20" s="9">
        <v>-35.684911</v>
      </c>
      <c r="H20" s="9">
        <v>-86.045299999999997</v>
      </c>
      <c r="I20" s="9">
        <v>-48.284596000000001</v>
      </c>
      <c r="J20" s="9">
        <v>-59.282345999999997</v>
      </c>
      <c r="K20" s="9">
        <v>-51.001987999999997</v>
      </c>
      <c r="L20" s="9">
        <v>-121.308328</v>
      </c>
      <c r="M20" s="9">
        <v>-75.694202000000004</v>
      </c>
      <c r="N20" s="9">
        <v>-86.893089000000003</v>
      </c>
      <c r="O20" s="9">
        <v>-87.947543999999994</v>
      </c>
      <c r="P20" s="9">
        <v>-250.78630699999999</v>
      </c>
      <c r="Q20" s="9">
        <v>-140.732721</v>
      </c>
      <c r="R20" s="8" t="s">
        <v>173</v>
      </c>
    </row>
    <row r="21" spans="1:18" x14ac:dyDescent="0.2">
      <c r="A21" s="4" t="s">
        <v>202</v>
      </c>
      <c r="B21" s="8" t="s">
        <v>203</v>
      </c>
      <c r="C21" s="8" t="s">
        <v>172</v>
      </c>
      <c r="D21" s="9">
        <v>1003.166592</v>
      </c>
      <c r="E21" s="9">
        <v>1433.3735099999999</v>
      </c>
      <c r="F21" s="9">
        <v>1283.4982970000001</v>
      </c>
      <c r="G21" s="9">
        <v>1074.7433599999999</v>
      </c>
      <c r="H21" s="9">
        <v>1283.912055</v>
      </c>
      <c r="I21" s="9">
        <v>1308.029509</v>
      </c>
      <c r="J21" s="9">
        <v>1394.050843</v>
      </c>
      <c r="K21" s="9">
        <v>1011.280131</v>
      </c>
      <c r="L21" s="9">
        <v>1182.417882</v>
      </c>
      <c r="M21" s="9">
        <v>1400.436815</v>
      </c>
      <c r="N21" s="9">
        <v>1394.8650720000001</v>
      </c>
      <c r="O21" s="9">
        <v>1422.2843660000001</v>
      </c>
      <c r="P21" s="9">
        <v>1532.892916</v>
      </c>
      <c r="Q21" s="9">
        <v>1972.520364</v>
      </c>
      <c r="R21" s="8" t="s">
        <v>173</v>
      </c>
    </row>
    <row r="22" spans="1:18" x14ac:dyDescent="0.2">
      <c r="A22" s="4" t="s">
        <v>204</v>
      </c>
      <c r="B22" s="8" t="s">
        <v>205</v>
      </c>
      <c r="C22" s="8" t="s">
        <v>172</v>
      </c>
      <c r="D22" s="9">
        <v>-185.58582000000001</v>
      </c>
      <c r="E22" s="9">
        <v>-252.991398</v>
      </c>
      <c r="F22" s="9">
        <v>-231.02969400000001</v>
      </c>
      <c r="G22" s="9">
        <v>-204.54228599999999</v>
      </c>
      <c r="H22" s="9">
        <v>-256.78241100000002</v>
      </c>
      <c r="I22" s="9">
        <v>-274.56560999999999</v>
      </c>
      <c r="J22" s="9">
        <v>-285.78042299999998</v>
      </c>
      <c r="K22" s="9">
        <v>-235.412319</v>
      </c>
      <c r="L22" s="9">
        <v>-242.39566600000001</v>
      </c>
      <c r="M22" s="9">
        <v>-287.08954699999998</v>
      </c>
      <c r="N22" s="9">
        <v>-285.94734</v>
      </c>
      <c r="O22" s="9">
        <v>-287.34721100000002</v>
      </c>
      <c r="P22" s="9">
        <v>-375.558764</v>
      </c>
      <c r="Q22" s="9">
        <v>-465.74042300000002</v>
      </c>
      <c r="R22" s="8" t="s">
        <v>173</v>
      </c>
    </row>
    <row r="23" spans="1:18" x14ac:dyDescent="0.2">
      <c r="A23" s="4" t="s">
        <v>206</v>
      </c>
      <c r="B23" s="8" t="s">
        <v>207</v>
      </c>
      <c r="C23" s="8" t="s">
        <v>172</v>
      </c>
      <c r="D23" s="9">
        <v>817.58077200000002</v>
      </c>
      <c r="E23" s="9">
        <v>1180.382112</v>
      </c>
      <c r="F23" s="9">
        <v>1052.468603</v>
      </c>
      <c r="G23" s="9">
        <v>870.20107399999995</v>
      </c>
      <c r="H23" s="9">
        <v>1027.1296440000001</v>
      </c>
      <c r="I23" s="9">
        <v>1033.4638990000001</v>
      </c>
      <c r="J23" s="9">
        <v>1108.2704200000001</v>
      </c>
      <c r="K23" s="9">
        <v>775.86781199999996</v>
      </c>
      <c r="L23" s="9">
        <v>940.02221599999996</v>
      </c>
      <c r="M23" s="9">
        <v>1113.347268</v>
      </c>
      <c r="N23" s="9">
        <v>1108.9177319999999</v>
      </c>
      <c r="O23" s="9">
        <v>1134.9371550000001</v>
      </c>
      <c r="P23" s="9">
        <v>1157.3341519999999</v>
      </c>
      <c r="Q23" s="9">
        <v>1506.779941</v>
      </c>
      <c r="R23" s="8" t="s">
        <v>173</v>
      </c>
    </row>
    <row r="24" spans="1:18" x14ac:dyDescent="0.2">
      <c r="A24" s="4" t="s">
        <v>208</v>
      </c>
      <c r="B24" s="8" t="s">
        <v>209</v>
      </c>
      <c r="C24" s="8" t="s">
        <v>172</v>
      </c>
      <c r="D24" s="9">
        <v>223.96975900000001</v>
      </c>
      <c r="E24" s="9">
        <v>284.106041</v>
      </c>
      <c r="F24" s="9">
        <v>232.80342999999999</v>
      </c>
      <c r="G24" s="9">
        <v>182.177639</v>
      </c>
      <c r="H24" s="9">
        <v>243.85551699999999</v>
      </c>
      <c r="I24" s="9">
        <v>187.270646</v>
      </c>
      <c r="J24" s="9">
        <v>221.82851700000001</v>
      </c>
      <c r="K24" s="9">
        <v>166.47784200000001</v>
      </c>
      <c r="L24" s="9">
        <v>196.71154100000001</v>
      </c>
      <c r="M24" s="9">
        <v>191.99098499999999</v>
      </c>
      <c r="N24" s="9">
        <v>207.79057900000001</v>
      </c>
      <c r="O24" s="9">
        <v>191.17949999999999</v>
      </c>
      <c r="P24" s="9">
        <v>278.785596</v>
      </c>
      <c r="Q24" s="9">
        <v>410.66150499999998</v>
      </c>
      <c r="R24" s="8" t="s">
        <v>173</v>
      </c>
    </row>
    <row r="25" spans="1:18" x14ac:dyDescent="0.2">
      <c r="A25" s="4" t="s">
        <v>210</v>
      </c>
      <c r="B25" s="8" t="s">
        <v>211</v>
      </c>
      <c r="C25" s="8" t="s">
        <v>172</v>
      </c>
      <c r="D25" s="9">
        <v>593.61101299999996</v>
      </c>
      <c r="E25" s="9">
        <v>896.276071</v>
      </c>
      <c r="F25" s="9">
        <v>819.66517299999998</v>
      </c>
      <c r="G25" s="9">
        <v>688.02343499999995</v>
      </c>
      <c r="H25" s="9">
        <v>783.27412700000002</v>
      </c>
      <c r="I25" s="9">
        <v>846.19325300000003</v>
      </c>
      <c r="J25" s="9">
        <v>886.44190300000002</v>
      </c>
      <c r="K25" s="9">
        <v>609.38996999999995</v>
      </c>
      <c r="L25" s="9">
        <v>743.31067499999995</v>
      </c>
      <c r="M25" s="9">
        <v>921.35628299999996</v>
      </c>
      <c r="N25" s="9">
        <v>901.12715300000002</v>
      </c>
      <c r="O25" s="9">
        <v>943.757655</v>
      </c>
      <c r="P25" s="9">
        <v>878.54855599999996</v>
      </c>
      <c r="Q25" s="9">
        <v>1096.118436</v>
      </c>
      <c r="R25" s="8" t="s">
        <v>173</v>
      </c>
    </row>
    <row r="26" spans="1:18" x14ac:dyDescent="0.2">
      <c r="A26" s="4" t="s">
        <v>212</v>
      </c>
      <c r="B26" s="8" t="s">
        <v>213</v>
      </c>
      <c r="C26" s="8" t="s">
        <v>172</v>
      </c>
      <c r="D26" s="9">
        <v>0</v>
      </c>
      <c r="E26" s="9">
        <v>-50.231250000000003</v>
      </c>
      <c r="F26" s="9">
        <v>-8.4594439999999995</v>
      </c>
      <c r="G26" s="9">
        <v>-40.375866000000002</v>
      </c>
      <c r="H26" s="9">
        <v>0</v>
      </c>
      <c r="I26" s="9">
        <v>-63.859526000000002</v>
      </c>
      <c r="J26" s="9">
        <v>0</v>
      </c>
      <c r="K26" s="9">
        <v>-68.733968000000004</v>
      </c>
      <c r="L26" s="9">
        <v>0</v>
      </c>
      <c r="M26" s="9">
        <v>-59.357086000000002</v>
      </c>
      <c r="N26" s="9">
        <v>0</v>
      </c>
      <c r="O26" s="9">
        <v>-79.206676000000002</v>
      </c>
      <c r="P26" s="9">
        <v>0</v>
      </c>
      <c r="Q26" s="9">
        <v>-79.887500000000003</v>
      </c>
      <c r="R26" s="8" t="s">
        <v>173</v>
      </c>
    </row>
    <row r="27" spans="1:18" x14ac:dyDescent="0.2">
      <c r="A27" s="4" t="s">
        <v>214</v>
      </c>
      <c r="B27" s="8" t="s">
        <v>215</v>
      </c>
      <c r="C27" s="8" t="s">
        <v>172</v>
      </c>
      <c r="D27" s="9">
        <v>2498.72109</v>
      </c>
      <c r="E27" s="9">
        <v>2662.412945</v>
      </c>
      <c r="F27" s="9">
        <v>2691.6244270000002</v>
      </c>
      <c r="G27" s="9">
        <v>2698.8549760000001</v>
      </c>
      <c r="H27" s="9">
        <v>2787.8955799999999</v>
      </c>
      <c r="I27" s="9">
        <v>2733.6649929999999</v>
      </c>
      <c r="J27" s="9">
        <v>2797.7993339999998</v>
      </c>
      <c r="K27" s="9">
        <v>2859.113445</v>
      </c>
      <c r="L27" s="9">
        <v>2802.327225</v>
      </c>
      <c r="M27" s="9">
        <v>2866.0882529999999</v>
      </c>
      <c r="N27" s="9">
        <v>2918.5024090000002</v>
      </c>
      <c r="O27" s="9">
        <v>3071.9738160000002</v>
      </c>
      <c r="P27" s="9">
        <v>3938.626749</v>
      </c>
      <c r="Q27" s="9">
        <v>4020.1010670000001</v>
      </c>
      <c r="R27" s="8" t="s">
        <v>173</v>
      </c>
    </row>
    <row r="28" spans="1:18" x14ac:dyDescent="0.2">
      <c r="A28" s="4" t="s">
        <v>216</v>
      </c>
      <c r="B28" s="8" t="s">
        <v>217</v>
      </c>
      <c r="C28" s="8" t="s">
        <v>172</v>
      </c>
      <c r="D28" s="9">
        <v>-1242.0478450000001</v>
      </c>
      <c r="E28" s="9">
        <v>-1230.1597099999999</v>
      </c>
      <c r="F28" s="9">
        <v>-1202.437257</v>
      </c>
      <c r="G28" s="9">
        <v>-1344.9602279999999</v>
      </c>
      <c r="H28" s="9">
        <v>-1282.52971</v>
      </c>
      <c r="I28" s="9">
        <v>-1265.262072</v>
      </c>
      <c r="J28" s="9">
        <v>-1261.541594</v>
      </c>
      <c r="K28" s="9">
        <v>-1469.5833600000001</v>
      </c>
      <c r="L28" s="9">
        <v>-1344.5195739999999</v>
      </c>
      <c r="M28" s="9">
        <v>-1361.3161580000001</v>
      </c>
      <c r="N28" s="9">
        <v>-1362.2709560000001</v>
      </c>
      <c r="O28" s="9">
        <v>-1514.7728629999999</v>
      </c>
      <c r="P28" s="9">
        <v>-1771.265247</v>
      </c>
      <c r="Q28" s="9">
        <v>-1765.760632</v>
      </c>
      <c r="R28" s="8" t="s">
        <v>173</v>
      </c>
    </row>
    <row r="29" spans="1:18" x14ac:dyDescent="0.2">
      <c r="A29" s="4" t="s">
        <v>218</v>
      </c>
      <c r="B29" s="8" t="s">
        <v>219</v>
      </c>
      <c r="C29" s="8" t="s">
        <v>172</v>
      </c>
      <c r="D29" s="9">
        <v>1256.673245</v>
      </c>
      <c r="E29" s="9">
        <v>1432.2532349999999</v>
      </c>
      <c r="F29" s="9">
        <v>1489.1871699999999</v>
      </c>
      <c r="G29" s="9">
        <v>1353.8947479999999</v>
      </c>
      <c r="H29" s="9">
        <v>1505.3658700000001</v>
      </c>
      <c r="I29" s="9">
        <v>1468.4029210000001</v>
      </c>
      <c r="J29" s="9">
        <v>1536.25774</v>
      </c>
      <c r="K29" s="9">
        <v>1389.5300850000001</v>
      </c>
      <c r="L29" s="9">
        <v>1457.8076510000001</v>
      </c>
      <c r="M29" s="9">
        <v>1504.772095</v>
      </c>
      <c r="N29" s="9">
        <v>1556.2314530000001</v>
      </c>
      <c r="O29" s="9">
        <v>1557.200953</v>
      </c>
      <c r="P29" s="9">
        <v>2167.3615020000002</v>
      </c>
      <c r="Q29" s="9">
        <v>2254.3404350000001</v>
      </c>
      <c r="R29" s="8" t="s">
        <v>173</v>
      </c>
    </row>
    <row r="30" spans="1:18" x14ac:dyDescent="0.2">
      <c r="A30" s="4" t="s">
        <v>220</v>
      </c>
      <c r="B30" s="8" t="s">
        <v>221</v>
      </c>
      <c r="C30" s="8" t="s">
        <v>222</v>
      </c>
      <c r="D30" s="10">
        <v>0.49707299999999999</v>
      </c>
      <c r="E30" s="10">
        <v>0.46204699999999999</v>
      </c>
      <c r="F30" s="10">
        <v>0.44673299999999999</v>
      </c>
      <c r="G30" s="10">
        <v>0.49834499999999998</v>
      </c>
      <c r="H30" s="10">
        <v>0.46003500000000003</v>
      </c>
      <c r="I30" s="10">
        <v>0.46284500000000001</v>
      </c>
      <c r="J30" s="10">
        <v>0.450905</v>
      </c>
      <c r="K30" s="10">
        <v>0.51400000000000001</v>
      </c>
      <c r="L30" s="10">
        <v>0.47978700000000002</v>
      </c>
      <c r="M30" s="10">
        <v>0.47497400000000001</v>
      </c>
      <c r="N30" s="10">
        <v>0.46677099999999999</v>
      </c>
      <c r="O30" s="10">
        <v>0.49309399999999998</v>
      </c>
      <c r="P30" s="10">
        <v>0.449716</v>
      </c>
      <c r="Q30" s="10">
        <v>0.43923299999999998</v>
      </c>
      <c r="R30" s="8" t="s">
        <v>173</v>
      </c>
    </row>
    <row r="31" spans="1:18" x14ac:dyDescent="0.2">
      <c r="A31" s="4" t="s">
        <v>223</v>
      </c>
      <c r="B31" s="8" t="s">
        <v>224</v>
      </c>
      <c r="C31" s="8" t="s">
        <v>222</v>
      </c>
      <c r="D31" s="10">
        <v>2.5021000000000002E-2</v>
      </c>
      <c r="E31" s="10">
        <v>2.4548E-2</v>
      </c>
      <c r="F31" s="10">
        <v>2.4865000000000002E-2</v>
      </c>
      <c r="G31" s="10">
        <v>2.4542999999999999E-2</v>
      </c>
      <c r="H31" s="10">
        <v>2.4837000000000001E-2</v>
      </c>
      <c r="I31" s="10">
        <v>2.3893999999999999E-2</v>
      </c>
      <c r="J31" s="10">
        <v>2.4403999999999999E-2</v>
      </c>
      <c r="K31" s="10">
        <v>2.4442999999999999E-2</v>
      </c>
      <c r="L31" s="10">
        <v>2.3215E-2</v>
      </c>
      <c r="M31" s="10">
        <v>2.3573E-2</v>
      </c>
      <c r="N31" s="10">
        <v>2.419E-2</v>
      </c>
      <c r="O31" s="10">
        <v>2.4594000000000001E-2</v>
      </c>
      <c r="P31" s="10">
        <v>2.6418000000000001E-2</v>
      </c>
      <c r="Q31" s="10">
        <v>2.6353000000000001E-2</v>
      </c>
      <c r="R31" s="8" t="s">
        <v>173</v>
      </c>
    </row>
    <row r="32" spans="1:18" x14ac:dyDescent="0.2">
      <c r="A32" s="4" t="s">
        <v>225</v>
      </c>
      <c r="B32" s="8" t="s">
        <v>226</v>
      </c>
      <c r="C32" s="8" t="s">
        <v>222</v>
      </c>
      <c r="D32" s="10">
        <v>-4.0000000000000002E-4</v>
      </c>
      <c r="E32" s="10">
        <v>-1.5899999999999999E-4</v>
      </c>
      <c r="F32" s="10">
        <v>2.9859999999999999E-3</v>
      </c>
      <c r="G32" s="10">
        <v>6.0000000000000002E-6</v>
      </c>
      <c r="H32" s="10">
        <v>1.789E-3</v>
      </c>
      <c r="I32" s="10">
        <v>5.8E-4</v>
      </c>
      <c r="J32" s="10">
        <v>1.5820000000000001E-3</v>
      </c>
      <c r="K32" s="10">
        <v>3.375E-3</v>
      </c>
      <c r="L32" s="10">
        <v>1.5299999999999999E-3</v>
      </c>
      <c r="M32" s="10">
        <v>1.7080000000000001E-3</v>
      </c>
      <c r="N32" s="10">
        <v>2.372E-3</v>
      </c>
      <c r="O32" s="10">
        <v>2.7209999999999999E-3</v>
      </c>
      <c r="P32" s="10">
        <v>6.8089999999999999E-3</v>
      </c>
      <c r="Q32" s="10">
        <v>2.0249999999999999E-3</v>
      </c>
      <c r="R32" s="8" t="s">
        <v>173</v>
      </c>
    </row>
    <row r="33" spans="1:18" x14ac:dyDescent="0.2">
      <c r="A33" s="4" t="s">
        <v>227</v>
      </c>
      <c r="B33" s="8" t="s">
        <v>228</v>
      </c>
      <c r="C33" s="8" t="s">
        <v>222</v>
      </c>
      <c r="D33" s="10">
        <v>0.185</v>
      </c>
      <c r="E33" s="10">
        <v>0.17650099999999999</v>
      </c>
      <c r="F33" s="10">
        <v>0.18</v>
      </c>
      <c r="G33" s="10">
        <v>0.19031699999999999</v>
      </c>
      <c r="H33" s="10">
        <v>0.2</v>
      </c>
      <c r="I33" s="10">
        <v>0.20990800000000001</v>
      </c>
      <c r="J33" s="10">
        <v>0.20499999999999999</v>
      </c>
      <c r="K33" s="10">
        <v>0.23278599999999999</v>
      </c>
      <c r="L33" s="10">
        <v>0.20499999999999999</v>
      </c>
      <c r="M33" s="10">
        <v>0.20499999999999999</v>
      </c>
      <c r="N33" s="10">
        <v>0.20499999999999999</v>
      </c>
      <c r="O33" s="10">
        <v>0.20203199999999999</v>
      </c>
      <c r="P33" s="10">
        <v>0.245</v>
      </c>
      <c r="Q33" s="10">
        <v>0.23611399999999999</v>
      </c>
      <c r="R33" s="8" t="s">
        <v>173</v>
      </c>
    </row>
    <row r="34" spans="1:18" x14ac:dyDescent="0.2">
      <c r="A34" s="4" t="s">
        <v>229</v>
      </c>
      <c r="B34" s="8" t="s">
        <v>230</v>
      </c>
      <c r="C34" s="8" t="s">
        <v>222</v>
      </c>
      <c r="D34" s="10">
        <v>0.13502600000000001</v>
      </c>
      <c r="E34" s="10">
        <v>0.18731800000000001</v>
      </c>
      <c r="F34" s="10">
        <v>0.19056999999999999</v>
      </c>
      <c r="G34" s="10">
        <v>0.147035</v>
      </c>
      <c r="H34" s="10">
        <v>0.17177899999999999</v>
      </c>
      <c r="I34" s="10">
        <v>0.17149200000000001</v>
      </c>
      <c r="J34" s="10">
        <v>0.19454199999999999</v>
      </c>
      <c r="K34" s="10">
        <v>0.113681</v>
      </c>
      <c r="L34" s="10">
        <v>0.15245400000000001</v>
      </c>
      <c r="M34" s="10">
        <v>0.17091200000000001</v>
      </c>
      <c r="N34" s="10">
        <v>0.17977399999999999</v>
      </c>
      <c r="O34" s="10">
        <v>0.160444</v>
      </c>
      <c r="P34" s="10">
        <v>0.18085100000000001</v>
      </c>
      <c r="Q34" s="10">
        <v>0.221446</v>
      </c>
      <c r="R34" s="8" t="s">
        <v>173</v>
      </c>
    </row>
    <row r="35" spans="1:18" x14ac:dyDescent="0.2">
      <c r="A35" s="4" t="s">
        <v>231</v>
      </c>
      <c r="B35" s="8" t="s">
        <v>232</v>
      </c>
      <c r="C35" s="8" t="s">
        <v>222</v>
      </c>
      <c r="D35" s="10">
        <v>0.14092399999999999</v>
      </c>
      <c r="E35" s="10">
        <v>0.15010899999999999</v>
      </c>
      <c r="F35" s="10">
        <v>0.145624</v>
      </c>
      <c r="G35" s="10">
        <v>0.15746299999999999</v>
      </c>
      <c r="H35" s="10">
        <v>0.15207000000000001</v>
      </c>
      <c r="I35" s="10">
        <v>0.155359</v>
      </c>
      <c r="J35" s="10">
        <v>0.15243799999999999</v>
      </c>
      <c r="K35" s="10">
        <v>0.15260499999999999</v>
      </c>
      <c r="L35" s="10">
        <v>0.158557</v>
      </c>
      <c r="M35" s="10">
        <v>0.174483</v>
      </c>
      <c r="N35" s="10">
        <v>0.175016</v>
      </c>
      <c r="O35" s="10">
        <v>0.19339999999999999</v>
      </c>
      <c r="P35" s="10">
        <v>0.14435799999999999</v>
      </c>
      <c r="Q35" s="10">
        <v>0.15235699999999999</v>
      </c>
      <c r="R35" s="8" t="s">
        <v>173</v>
      </c>
    </row>
    <row r="36" spans="1:18" x14ac:dyDescent="0.2">
      <c r="A36" s="4" t="s">
        <v>233</v>
      </c>
      <c r="B36" s="8" t="s">
        <v>234</v>
      </c>
      <c r="C36" s="8" t="s">
        <v>222</v>
      </c>
      <c r="D36" s="10">
        <v>2.0621E-2</v>
      </c>
      <c r="E36" s="10">
        <v>1.9720999999999999E-2</v>
      </c>
      <c r="F36" s="10">
        <v>2.0204E-2</v>
      </c>
      <c r="G36" s="10">
        <v>2.2578000000000001E-2</v>
      </c>
      <c r="H36" s="10">
        <v>2.3245999999999999E-2</v>
      </c>
      <c r="I36" s="10">
        <v>2.3793999999999999E-2</v>
      </c>
      <c r="J36" s="10">
        <v>2.4188999999999999E-2</v>
      </c>
      <c r="K36" s="10">
        <v>2.5565999999999998E-2</v>
      </c>
      <c r="L36" s="10">
        <v>2.5241E-2</v>
      </c>
      <c r="M36" s="10">
        <v>2.5090000000000001E-2</v>
      </c>
      <c r="N36" s="10">
        <v>2.4732000000000001E-2</v>
      </c>
      <c r="O36" s="10">
        <v>2.4330999999999998E-2</v>
      </c>
      <c r="P36" s="10">
        <v>2.3519999999999999E-2</v>
      </c>
      <c r="Q36" s="10">
        <v>2.3293999999999999E-2</v>
      </c>
      <c r="R36" s="8" t="s">
        <v>173</v>
      </c>
    </row>
    <row r="37" spans="1:18" x14ac:dyDescent="0.2">
      <c r="A37" s="4" t="s">
        <v>235</v>
      </c>
      <c r="B37" s="8" t="s">
        <v>236</v>
      </c>
      <c r="C37" s="8" t="s">
        <v>222</v>
      </c>
      <c r="D37" s="10">
        <v>0.85128000000000004</v>
      </c>
      <c r="E37" s="10">
        <v>0.84983699999999995</v>
      </c>
      <c r="F37" s="10">
        <v>0.87436999999999998</v>
      </c>
      <c r="G37" s="10">
        <v>0.89267399999999997</v>
      </c>
      <c r="H37" s="10">
        <v>0.88420900000000002</v>
      </c>
      <c r="I37" s="10">
        <v>0.87944599999999995</v>
      </c>
      <c r="J37" s="10">
        <v>0.89041400000000004</v>
      </c>
      <c r="K37" s="10">
        <v>0.90240399999999998</v>
      </c>
      <c r="L37" s="10">
        <v>0.89404899999999998</v>
      </c>
      <c r="M37" s="10">
        <v>0.90134199999999998</v>
      </c>
      <c r="N37" s="10">
        <v>0.91996699999999998</v>
      </c>
      <c r="O37" s="10">
        <v>0.91696999999999995</v>
      </c>
      <c r="P37" s="10">
        <v>0.87565099999999996</v>
      </c>
      <c r="Q37" s="10">
        <v>0.87348000000000003</v>
      </c>
      <c r="R37" s="8" t="s">
        <v>173</v>
      </c>
    </row>
    <row r="38" spans="1:18" x14ac:dyDescent="0.2">
      <c r="A38" s="4" t="s">
        <v>237</v>
      </c>
      <c r="B38" s="8" t="s">
        <v>238</v>
      </c>
      <c r="C38" s="8" t="s">
        <v>172</v>
      </c>
      <c r="D38" s="9">
        <v>342921.38586799998</v>
      </c>
      <c r="E38" s="9">
        <v>343992.68474699999</v>
      </c>
      <c r="F38" s="9">
        <v>337161.09373700002</v>
      </c>
      <c r="G38" s="9">
        <v>337155.38007999997</v>
      </c>
      <c r="H38" s="9">
        <v>342698.93952999997</v>
      </c>
      <c r="I38" s="9">
        <v>344141.38973499998</v>
      </c>
      <c r="J38" s="9">
        <v>346528.70480900002</v>
      </c>
      <c r="K38" s="9">
        <v>353735.99937600002</v>
      </c>
      <c r="L38" s="9">
        <v>358002.84351400001</v>
      </c>
      <c r="M38" s="9">
        <v>361071.67631399998</v>
      </c>
      <c r="N38" s="9">
        <v>362850.74206900003</v>
      </c>
      <c r="O38" s="9">
        <v>368574.14026399999</v>
      </c>
      <c r="P38" s="9">
        <v>450026.78094999999</v>
      </c>
      <c r="Q38" s="9">
        <v>461137.33206500002</v>
      </c>
      <c r="R38" s="8" t="s">
        <v>173</v>
      </c>
    </row>
    <row r="39" spans="1:18" x14ac:dyDescent="0.2">
      <c r="A39" s="4" t="s">
        <v>239</v>
      </c>
      <c r="B39" s="8" t="s">
        <v>240</v>
      </c>
      <c r="C39" s="8" t="s">
        <v>172</v>
      </c>
      <c r="D39" s="9">
        <v>342921.38586799998</v>
      </c>
      <c r="E39" s="9">
        <v>343992.68474699999</v>
      </c>
      <c r="F39" s="9">
        <v>337161.09373700002</v>
      </c>
      <c r="G39" s="9">
        <v>337155.38007999997</v>
      </c>
      <c r="H39" s="9">
        <v>342698.93952999997</v>
      </c>
      <c r="I39" s="9">
        <v>344141.38973499998</v>
      </c>
      <c r="J39" s="9">
        <v>346528.70480900002</v>
      </c>
      <c r="K39" s="9">
        <v>353735.99937600002</v>
      </c>
      <c r="L39" s="9">
        <v>358002.84351400001</v>
      </c>
      <c r="M39" s="9">
        <v>361071.67631399998</v>
      </c>
      <c r="N39" s="9">
        <v>362850.74206800002</v>
      </c>
      <c r="O39" s="9">
        <v>368574.14026299998</v>
      </c>
      <c r="P39" s="9">
        <v>450026.78094999999</v>
      </c>
      <c r="Q39" s="9">
        <v>461137.33206500002</v>
      </c>
      <c r="R39" s="8" t="s">
        <v>173</v>
      </c>
    </row>
    <row r="40" spans="1:18" x14ac:dyDescent="0.2">
      <c r="A40" s="4" t="s">
        <v>241</v>
      </c>
      <c r="B40" s="8" t="s">
        <v>242</v>
      </c>
      <c r="C40" s="8" t="s">
        <v>172</v>
      </c>
      <c r="D40" s="9">
        <v>202668.055505</v>
      </c>
      <c r="E40" s="9">
        <v>204880.79245499999</v>
      </c>
      <c r="F40" s="9">
        <v>206153.100901</v>
      </c>
      <c r="G40" s="9">
        <v>207828.300778</v>
      </c>
      <c r="H40" s="9">
        <v>208085.84658799999</v>
      </c>
      <c r="I40" s="9">
        <v>211276.032576</v>
      </c>
      <c r="J40" s="9">
        <v>213462.07691500001</v>
      </c>
      <c r="K40" s="9">
        <v>218066.545797</v>
      </c>
      <c r="L40" s="9">
        <v>220069.15485200001</v>
      </c>
      <c r="M40" s="9">
        <v>223982.58219300001</v>
      </c>
      <c r="N40" s="9">
        <v>227977.65300200001</v>
      </c>
      <c r="O40" s="9">
        <v>231985.19725900001</v>
      </c>
      <c r="P40" s="9">
        <v>275630.294192</v>
      </c>
      <c r="Q40" s="9">
        <v>282704.30208699999</v>
      </c>
      <c r="R40" s="8" t="s">
        <v>173</v>
      </c>
    </row>
    <row r="41" spans="1:18" x14ac:dyDescent="0.2">
      <c r="A41" s="4" t="s">
        <v>243</v>
      </c>
      <c r="B41" s="8" t="s">
        <v>244</v>
      </c>
      <c r="C41" s="8" t="s">
        <v>172</v>
      </c>
      <c r="D41" s="9">
        <v>238074.45730499999</v>
      </c>
      <c r="E41" s="9">
        <v>241082.40758200001</v>
      </c>
      <c r="F41" s="9">
        <v>235773.40377999999</v>
      </c>
      <c r="G41" s="9">
        <v>232815.45066900001</v>
      </c>
      <c r="H41" s="9">
        <v>235335.546176</v>
      </c>
      <c r="I41" s="9">
        <v>240237.607785</v>
      </c>
      <c r="J41" s="9">
        <v>239733.548174</v>
      </c>
      <c r="K41" s="9">
        <v>241650.61810299999</v>
      </c>
      <c r="L41" s="9">
        <v>246148.999087</v>
      </c>
      <c r="M41" s="9">
        <v>248499.065539</v>
      </c>
      <c r="N41" s="9">
        <v>247810.620658</v>
      </c>
      <c r="O41" s="9">
        <v>252991.09316399999</v>
      </c>
      <c r="P41" s="9">
        <v>314772.02070499997</v>
      </c>
      <c r="Q41" s="9">
        <v>323652.78231899999</v>
      </c>
      <c r="R41" s="8" t="s">
        <v>173</v>
      </c>
    </row>
    <row r="42" spans="1:18" x14ac:dyDescent="0.2">
      <c r="A42" s="4" t="s">
        <v>245</v>
      </c>
      <c r="B42" s="8" t="s">
        <v>246</v>
      </c>
      <c r="C42" s="8" t="s">
        <v>172</v>
      </c>
      <c r="D42" s="9">
        <v>26483.010014</v>
      </c>
      <c r="E42" s="9">
        <v>26734.784318000002</v>
      </c>
      <c r="F42" s="9">
        <v>27687.077179</v>
      </c>
      <c r="G42" s="9">
        <v>28501.553639999998</v>
      </c>
      <c r="H42" s="9">
        <v>29322.317797</v>
      </c>
      <c r="I42" s="9">
        <v>28972.672714</v>
      </c>
      <c r="J42" s="9">
        <v>30111.860057999998</v>
      </c>
      <c r="K42" s="9">
        <v>30767.404085999999</v>
      </c>
      <c r="L42" s="9">
        <v>31826.328909</v>
      </c>
      <c r="M42" s="9">
        <v>32602.770884000001</v>
      </c>
      <c r="N42" s="9">
        <v>33762.628223</v>
      </c>
      <c r="O42" s="9">
        <v>34665.162378000001</v>
      </c>
      <c r="P42" s="9">
        <v>40308.101908999997</v>
      </c>
      <c r="Q42" s="9">
        <v>41691.466748999999</v>
      </c>
      <c r="R42" s="8" t="s">
        <v>173</v>
      </c>
    </row>
    <row r="43" spans="1:18" x14ac:dyDescent="0.2">
      <c r="A43" s="4" t="s">
        <v>247</v>
      </c>
      <c r="B43" s="8" t="s">
        <v>248</v>
      </c>
      <c r="C43" s="8" t="s">
        <v>172</v>
      </c>
      <c r="D43" s="9">
        <v>1335.438787</v>
      </c>
      <c r="E43" s="9">
        <v>1328.498781</v>
      </c>
      <c r="F43" s="9">
        <v>1313.095691</v>
      </c>
      <c r="G43" s="9">
        <v>1313.388962</v>
      </c>
      <c r="H43" s="9">
        <v>1280.5820650000001</v>
      </c>
      <c r="I43" s="9">
        <v>1281.6612170000001</v>
      </c>
      <c r="J43" s="9">
        <v>1277.1777850000001</v>
      </c>
      <c r="K43" s="9">
        <v>1382.3344629999999</v>
      </c>
      <c r="L43" s="9">
        <v>1365.741587</v>
      </c>
      <c r="M43" s="9">
        <v>1386.837413</v>
      </c>
      <c r="N43" s="9">
        <v>1390.228157</v>
      </c>
      <c r="O43" s="9">
        <v>1412.9686850000001</v>
      </c>
      <c r="P43" s="9">
        <v>5914.6359259999999</v>
      </c>
      <c r="Q43" s="9">
        <v>5857.1462689999998</v>
      </c>
      <c r="R43" s="8" t="s">
        <v>173</v>
      </c>
    </row>
    <row r="44" spans="1:18" x14ac:dyDescent="0.2">
      <c r="A44" s="4" t="s">
        <v>249</v>
      </c>
      <c r="B44" s="8" t="s">
        <v>250</v>
      </c>
      <c r="C44" s="8" t="s">
        <v>172</v>
      </c>
      <c r="D44" s="9">
        <v>18058.792979000002</v>
      </c>
      <c r="E44" s="9">
        <v>18074.176928000001</v>
      </c>
      <c r="F44" s="9">
        <v>18621.316988999999</v>
      </c>
      <c r="G44" s="9">
        <v>19242.932268</v>
      </c>
      <c r="H44" s="9">
        <v>19829.187594999999</v>
      </c>
      <c r="I44" s="9">
        <v>19046.635214000002</v>
      </c>
      <c r="J44" s="9">
        <v>19964.602327000001</v>
      </c>
      <c r="K44" s="9">
        <v>20446.993306</v>
      </c>
      <c r="L44" s="9">
        <v>21306.307820999999</v>
      </c>
      <c r="M44" s="9">
        <v>20964.695956</v>
      </c>
      <c r="N44" s="9">
        <v>21912.788742000001</v>
      </c>
      <c r="O44" s="9">
        <v>22818.563668999999</v>
      </c>
      <c r="P44" s="9">
        <v>23371.902779</v>
      </c>
      <c r="Q44" s="9">
        <v>24250.432106</v>
      </c>
      <c r="R44" s="8" t="s">
        <v>173</v>
      </c>
    </row>
    <row r="45" spans="1:18" x14ac:dyDescent="0.2">
      <c r="A45" s="4" t="s">
        <v>251</v>
      </c>
      <c r="B45" s="8" t="s">
        <v>252</v>
      </c>
      <c r="C45" s="8" t="s">
        <v>172</v>
      </c>
      <c r="D45" s="9">
        <v>2236.1530360000002</v>
      </c>
      <c r="E45" s="9">
        <v>2236.1530360000002</v>
      </c>
      <c r="F45" s="9">
        <v>2393.8536260000001</v>
      </c>
      <c r="G45" s="9">
        <v>2405.1348760000001</v>
      </c>
      <c r="H45" s="9">
        <v>2405.1348760000001</v>
      </c>
      <c r="I45" s="9">
        <v>2687.8256040000001</v>
      </c>
      <c r="J45" s="9">
        <v>2687.8256040000001</v>
      </c>
      <c r="K45" s="9">
        <v>2687.8256040000001</v>
      </c>
      <c r="L45" s="9">
        <v>2687.8256040000001</v>
      </c>
      <c r="M45" s="9">
        <v>3681.6256039999998</v>
      </c>
      <c r="N45" s="9">
        <v>3681.6256039999998</v>
      </c>
      <c r="O45" s="9">
        <v>3479.3968239999999</v>
      </c>
      <c r="P45" s="9">
        <v>3479.3968239999999</v>
      </c>
      <c r="Q45" s="9">
        <v>4225.183884</v>
      </c>
      <c r="R45" s="8" t="s">
        <v>173</v>
      </c>
    </row>
    <row r="46" spans="1:18" x14ac:dyDescent="0.2">
      <c r="A46" s="4" t="s">
        <v>253</v>
      </c>
      <c r="B46" s="8" t="s">
        <v>254</v>
      </c>
      <c r="C46" s="8" t="s">
        <v>172</v>
      </c>
      <c r="D46" s="9">
        <v>206677.73804500001</v>
      </c>
      <c r="E46" s="9">
        <v>208860.27685900001</v>
      </c>
      <c r="F46" s="9">
        <v>210257.49886299999</v>
      </c>
      <c r="G46" s="9">
        <v>211896.52879899999</v>
      </c>
      <c r="H46" s="9">
        <v>212212.07412999999</v>
      </c>
      <c r="I46" s="9">
        <v>215404.718215</v>
      </c>
      <c r="J46" s="9">
        <v>217600.09155300001</v>
      </c>
      <c r="K46" s="9">
        <v>222184.197869</v>
      </c>
      <c r="L46" s="9">
        <v>224286.859379</v>
      </c>
      <c r="M46" s="9">
        <v>228195.51646799999</v>
      </c>
      <c r="N46" s="9">
        <v>232203.96176999999</v>
      </c>
      <c r="O46" s="9">
        <v>235983.18345400001</v>
      </c>
      <c r="P46" s="9">
        <v>280096.60222100001</v>
      </c>
      <c r="Q46" s="9">
        <v>287277.94418799999</v>
      </c>
      <c r="R46" s="8" t="s">
        <v>173</v>
      </c>
    </row>
    <row r="47" spans="1:18" x14ac:dyDescent="0.2">
      <c r="A47" s="4" t="s">
        <v>255</v>
      </c>
      <c r="B47" s="8" t="s">
        <v>256</v>
      </c>
      <c r="C47" s="8" t="s">
        <v>172</v>
      </c>
      <c r="L47" s="9">
        <v>24039.779537999999</v>
      </c>
      <c r="M47" s="9">
        <v>26623.771908999999</v>
      </c>
      <c r="N47" s="9">
        <v>26445.44472</v>
      </c>
      <c r="O47" s="9">
        <v>28523.937379999999</v>
      </c>
      <c r="P47" s="9">
        <v>26490.671602999999</v>
      </c>
      <c r="Q47" s="9">
        <v>28474.388247999999</v>
      </c>
      <c r="R47" s="8" t="s">
        <v>173</v>
      </c>
    </row>
    <row r="48" spans="1:18" x14ac:dyDescent="0.2">
      <c r="A48" s="4" t="s">
        <v>257</v>
      </c>
      <c r="B48" s="8" t="s">
        <v>258</v>
      </c>
      <c r="C48" s="8" t="s">
        <v>172</v>
      </c>
      <c r="L48" s="9">
        <v>151615.80646200001</v>
      </c>
      <c r="M48" s="9">
        <v>152586.35852499999</v>
      </c>
      <c r="N48" s="9">
        <v>151102.83355499999</v>
      </c>
      <c r="O48" s="9">
        <v>147487.06510099999</v>
      </c>
      <c r="P48" s="9">
        <v>183506.936411</v>
      </c>
      <c r="Q48" s="9">
        <v>186892.22412299999</v>
      </c>
      <c r="R48" s="8" t="s">
        <v>173</v>
      </c>
    </row>
    <row r="52" spans="1:9" x14ac:dyDescent="0.2">
      <c r="A52" s="4" t="s">
        <v>259</v>
      </c>
    </row>
    <row r="53" spans="1:9" x14ac:dyDescent="0.2">
      <c r="A53" s="7" t="s">
        <v>153</v>
      </c>
      <c r="B53" s="7" t="s">
        <v>154</v>
      </c>
      <c r="C53" s="7" t="s">
        <v>42</v>
      </c>
      <c r="D53" s="7" t="s">
        <v>260</v>
      </c>
      <c r="E53" s="7" t="s">
        <v>261</v>
      </c>
      <c r="F53" s="7" t="s">
        <v>135</v>
      </c>
      <c r="G53" s="7" t="s">
        <v>262</v>
      </c>
      <c r="H53" s="7" t="s">
        <v>263</v>
      </c>
      <c r="I53" s="7" t="s">
        <v>169</v>
      </c>
    </row>
    <row r="54" spans="1:9" x14ac:dyDescent="0.2">
      <c r="A54" s="4" t="s">
        <v>170</v>
      </c>
      <c r="B54" s="8" t="s">
        <v>171</v>
      </c>
      <c r="C54" s="8" t="s">
        <v>172</v>
      </c>
      <c r="D54" s="11">
        <v>7228</v>
      </c>
      <c r="E54" s="11">
        <v>7528</v>
      </c>
      <c r="F54" s="11">
        <v>7788</v>
      </c>
      <c r="G54" s="11">
        <v>3786</v>
      </c>
      <c r="H54" s="11">
        <v>5386</v>
      </c>
      <c r="I54" s="8" t="s">
        <v>264</v>
      </c>
    </row>
    <row r="55" spans="1:9" x14ac:dyDescent="0.2">
      <c r="A55" s="4" t="s">
        <v>174</v>
      </c>
      <c r="B55" s="8" t="s">
        <v>175</v>
      </c>
      <c r="C55" s="8" t="s">
        <v>172</v>
      </c>
      <c r="D55" s="11">
        <v>2640</v>
      </c>
      <c r="E55" s="11">
        <v>2938</v>
      </c>
      <c r="F55" s="11">
        <v>3191</v>
      </c>
      <c r="G55" s="11">
        <v>1542</v>
      </c>
      <c r="H55" s="11">
        <v>1929</v>
      </c>
      <c r="I55" s="8" t="s">
        <v>264</v>
      </c>
    </row>
    <row r="56" spans="1:9" x14ac:dyDescent="0.2">
      <c r="A56" s="4" t="s">
        <v>176</v>
      </c>
      <c r="B56" s="8" t="s">
        <v>177</v>
      </c>
      <c r="C56" s="8" t="s">
        <v>172</v>
      </c>
      <c r="D56" s="11">
        <v>38</v>
      </c>
      <c r="E56" s="11">
        <v>39</v>
      </c>
      <c r="F56" s="11">
        <v>36</v>
      </c>
      <c r="G56" s="11">
        <v>29</v>
      </c>
      <c r="H56" s="11">
        <v>45</v>
      </c>
      <c r="I56" s="8" t="s">
        <v>264</v>
      </c>
    </row>
    <row r="57" spans="1:9" x14ac:dyDescent="0.2">
      <c r="A57" s="4" t="s">
        <v>178</v>
      </c>
      <c r="B57" s="8" t="s">
        <v>179</v>
      </c>
      <c r="C57" s="8" t="s">
        <v>172</v>
      </c>
      <c r="D57" s="11">
        <v>754</v>
      </c>
      <c r="E57" s="11">
        <v>519</v>
      </c>
      <c r="F57" s="11">
        <v>313</v>
      </c>
      <c r="G57" s="11">
        <v>141</v>
      </c>
      <c r="H57" s="11">
        <v>424</v>
      </c>
      <c r="I57" s="8" t="s">
        <v>264</v>
      </c>
    </row>
    <row r="58" spans="1:9" x14ac:dyDescent="0.2">
      <c r="A58" s="4" t="s">
        <v>180</v>
      </c>
      <c r="B58" s="8" t="s">
        <v>181</v>
      </c>
      <c r="C58" s="8" t="s">
        <v>172</v>
      </c>
      <c r="D58" s="11">
        <v>-306</v>
      </c>
      <c r="E58" s="11">
        <v>-82</v>
      </c>
      <c r="F58" s="11">
        <v>107</v>
      </c>
      <c r="G58" s="11">
        <v>59</v>
      </c>
      <c r="H58" s="11">
        <v>40</v>
      </c>
      <c r="I58" s="8" t="s">
        <v>264</v>
      </c>
    </row>
    <row r="59" spans="1:9" x14ac:dyDescent="0.2">
      <c r="A59" s="4" t="s">
        <v>182</v>
      </c>
      <c r="B59" s="8" t="s">
        <v>183</v>
      </c>
      <c r="C59" s="8" t="s">
        <v>172</v>
      </c>
      <c r="D59" s="11">
        <v>23</v>
      </c>
      <c r="E59" s="11">
        <v>27</v>
      </c>
      <c r="F59" s="11">
        <v>46</v>
      </c>
      <c r="G59" s="11">
        <v>23</v>
      </c>
      <c r="H59" s="11">
        <v>40</v>
      </c>
      <c r="I59" s="8" t="s">
        <v>264</v>
      </c>
    </row>
    <row r="60" spans="1:9" x14ac:dyDescent="0.2">
      <c r="A60" s="4" t="s">
        <v>184</v>
      </c>
      <c r="B60" s="8" t="s">
        <v>185</v>
      </c>
      <c r="C60" s="8" t="s">
        <v>172</v>
      </c>
      <c r="D60" s="11">
        <v>175</v>
      </c>
      <c r="E60" s="11">
        <v>210</v>
      </c>
      <c r="F60" s="11">
        <v>179</v>
      </c>
      <c r="G60" s="11">
        <v>88</v>
      </c>
      <c r="H60" s="11">
        <v>96</v>
      </c>
      <c r="I60" s="8" t="s">
        <v>264</v>
      </c>
    </row>
    <row r="61" spans="1:9" x14ac:dyDescent="0.2">
      <c r="A61" s="4" t="s">
        <v>186</v>
      </c>
      <c r="B61" s="8" t="s">
        <v>187</v>
      </c>
      <c r="C61" s="8" t="s">
        <v>172</v>
      </c>
      <c r="D61" s="11">
        <v>-2991</v>
      </c>
      <c r="E61" s="11">
        <v>-3202</v>
      </c>
      <c r="F61" s="11">
        <v>-3335</v>
      </c>
      <c r="G61" s="11">
        <v>-1624</v>
      </c>
      <c r="H61" s="11">
        <v>-1977</v>
      </c>
      <c r="I61" s="8" t="s">
        <v>264</v>
      </c>
    </row>
    <row r="62" spans="1:9" x14ac:dyDescent="0.2">
      <c r="A62" s="4" t="s">
        <v>188</v>
      </c>
      <c r="B62" s="8" t="s">
        <v>189</v>
      </c>
      <c r="C62" s="8" t="s">
        <v>172</v>
      </c>
      <c r="D62" s="11">
        <v>-1468</v>
      </c>
      <c r="E62" s="11">
        <v>-1529</v>
      </c>
      <c r="F62" s="11">
        <v>-1688</v>
      </c>
      <c r="G62" s="11">
        <v>-808</v>
      </c>
      <c r="H62" s="11">
        <v>-1075</v>
      </c>
      <c r="I62" s="8" t="s">
        <v>264</v>
      </c>
    </row>
    <row r="63" spans="1:9" x14ac:dyDescent="0.2">
      <c r="A63" s="4" t="s">
        <v>190</v>
      </c>
      <c r="B63" s="8" t="s">
        <v>191</v>
      </c>
      <c r="C63" s="8" t="s">
        <v>172</v>
      </c>
      <c r="D63" s="11">
        <v>-560</v>
      </c>
      <c r="E63" s="11">
        <v>-547</v>
      </c>
      <c r="F63" s="11">
        <v>-560</v>
      </c>
      <c r="G63" s="11">
        <v>-274</v>
      </c>
      <c r="H63" s="11">
        <v>-485</v>
      </c>
      <c r="I63" s="8" t="s">
        <v>264</v>
      </c>
    </row>
    <row r="64" spans="1:9" x14ac:dyDescent="0.2">
      <c r="A64" s="4" t="s">
        <v>192</v>
      </c>
      <c r="B64" s="8" t="s">
        <v>193</v>
      </c>
      <c r="C64" s="8" t="s">
        <v>172</v>
      </c>
      <c r="D64" s="11">
        <v>-13</v>
      </c>
      <c r="E64" s="11">
        <v>-90</v>
      </c>
      <c r="F64" s="11">
        <v>-49</v>
      </c>
      <c r="G64" s="11">
        <v>-13</v>
      </c>
      <c r="H64" s="11">
        <v>-5</v>
      </c>
      <c r="I64" s="8" t="s">
        <v>264</v>
      </c>
    </row>
    <row r="65" spans="1:9" x14ac:dyDescent="0.2">
      <c r="A65" s="4" t="s">
        <v>194</v>
      </c>
      <c r="B65" s="8" t="s">
        <v>195</v>
      </c>
      <c r="C65" s="8" t="s">
        <v>172</v>
      </c>
      <c r="D65" s="11">
        <v>-128</v>
      </c>
      <c r="E65" s="11">
        <v>-1</v>
      </c>
      <c r="F65" s="11">
        <v>9</v>
      </c>
      <c r="G65" s="11">
        <v>-2</v>
      </c>
      <c r="H65" s="11">
        <v>2</v>
      </c>
      <c r="I65" s="8" t="s">
        <v>264</v>
      </c>
    </row>
    <row r="66" spans="1:9" x14ac:dyDescent="0.2">
      <c r="A66" s="4" t="s">
        <v>196</v>
      </c>
      <c r="B66" s="8" t="s">
        <v>197</v>
      </c>
      <c r="C66" s="8" t="s">
        <v>172</v>
      </c>
      <c r="D66" s="11">
        <v>-128</v>
      </c>
      <c r="E66" s="11">
        <v>-397</v>
      </c>
      <c r="F66" s="11">
        <v>-478</v>
      </c>
      <c r="G66" s="11">
        <v>-182</v>
      </c>
      <c r="H66" s="11">
        <v>-583</v>
      </c>
      <c r="I66" s="8" t="s">
        <v>264</v>
      </c>
    </row>
    <row r="67" spans="1:9" x14ac:dyDescent="0.2">
      <c r="A67" s="4" t="s">
        <v>198</v>
      </c>
      <c r="B67" s="8" t="s">
        <v>199</v>
      </c>
      <c r="C67" s="8" t="s">
        <v>172</v>
      </c>
      <c r="D67" s="11">
        <v>-468</v>
      </c>
      <c r="E67" s="11">
        <v>-414</v>
      </c>
      <c r="F67" s="11">
        <v>-158</v>
      </c>
      <c r="G67" s="11">
        <v>-183</v>
      </c>
      <c r="H67" s="11">
        <v>-330</v>
      </c>
      <c r="I67" s="8" t="s">
        <v>264</v>
      </c>
    </row>
    <row r="68" spans="1:9" x14ac:dyDescent="0.2">
      <c r="A68" s="4" t="s">
        <v>200</v>
      </c>
      <c r="B68" s="8" t="s">
        <v>201</v>
      </c>
      <c r="C68" s="8" t="s">
        <v>172</v>
      </c>
      <c r="D68" s="11">
        <v>-183</v>
      </c>
      <c r="E68" s="11">
        <v>-245</v>
      </c>
      <c r="F68" s="11">
        <v>-372</v>
      </c>
      <c r="G68" s="11">
        <v>-197</v>
      </c>
      <c r="H68" s="11">
        <v>-392</v>
      </c>
      <c r="I68" s="8" t="s">
        <v>264</v>
      </c>
    </row>
    <row r="69" spans="1:9" x14ac:dyDescent="0.2">
      <c r="A69" s="4" t="s">
        <v>202</v>
      </c>
      <c r="B69" s="8" t="s">
        <v>203</v>
      </c>
      <c r="C69" s="8" t="s">
        <v>172</v>
      </c>
      <c r="D69" s="11">
        <v>4795</v>
      </c>
      <c r="E69" s="11">
        <v>4997</v>
      </c>
      <c r="F69" s="11">
        <v>5400</v>
      </c>
      <c r="G69" s="11">
        <v>2583</v>
      </c>
      <c r="H69" s="11">
        <v>3505</v>
      </c>
      <c r="I69" s="8" t="s">
        <v>264</v>
      </c>
    </row>
    <row r="70" spans="1:9" x14ac:dyDescent="0.2">
      <c r="A70" s="4" t="s">
        <v>204</v>
      </c>
      <c r="B70" s="8" t="s">
        <v>205</v>
      </c>
      <c r="C70" s="8" t="s">
        <v>172</v>
      </c>
      <c r="D70" s="11">
        <v>-874</v>
      </c>
      <c r="E70" s="11">
        <v>-1053</v>
      </c>
      <c r="F70" s="11">
        <v>-1103</v>
      </c>
      <c r="G70" s="11">
        <v>-529</v>
      </c>
      <c r="H70" s="11">
        <v>-841</v>
      </c>
      <c r="I70" s="8" t="s">
        <v>264</v>
      </c>
    </row>
    <row r="71" spans="1:9" x14ac:dyDescent="0.2">
      <c r="A71" s="4" t="s">
        <v>206</v>
      </c>
      <c r="B71" s="8" t="s">
        <v>207</v>
      </c>
      <c r="C71" s="8" t="s">
        <v>172</v>
      </c>
      <c r="D71" s="11">
        <v>3921</v>
      </c>
      <c r="E71" s="11">
        <v>3945</v>
      </c>
      <c r="F71" s="11">
        <v>4297</v>
      </c>
      <c r="G71" s="11">
        <v>2053</v>
      </c>
      <c r="H71" s="11">
        <v>2664</v>
      </c>
      <c r="I71" s="8" t="s">
        <v>264</v>
      </c>
    </row>
    <row r="72" spans="1:9" x14ac:dyDescent="0.2">
      <c r="A72" s="4" t="s">
        <v>208</v>
      </c>
      <c r="B72" s="8" t="s">
        <v>209</v>
      </c>
      <c r="C72" s="8" t="s">
        <v>172</v>
      </c>
      <c r="D72" s="11">
        <v>923</v>
      </c>
      <c r="E72" s="11">
        <v>819</v>
      </c>
      <c r="F72" s="11">
        <v>788</v>
      </c>
      <c r="G72" s="11">
        <v>389</v>
      </c>
      <c r="H72" s="11">
        <v>689</v>
      </c>
      <c r="I72" s="8" t="s">
        <v>264</v>
      </c>
    </row>
    <row r="73" spans="1:9" x14ac:dyDescent="0.2">
      <c r="A73" s="4" t="s">
        <v>210</v>
      </c>
      <c r="B73" s="8" t="s">
        <v>211</v>
      </c>
      <c r="C73" s="8" t="s">
        <v>172</v>
      </c>
      <c r="D73" s="11">
        <v>2998</v>
      </c>
      <c r="E73" s="11">
        <v>3125</v>
      </c>
      <c r="F73" s="11">
        <v>3510</v>
      </c>
      <c r="G73" s="11">
        <v>1665</v>
      </c>
      <c r="H73" s="11">
        <v>1975</v>
      </c>
      <c r="I73" s="8" t="s">
        <v>264</v>
      </c>
    </row>
    <row r="74" spans="1:9" x14ac:dyDescent="0.2">
      <c r="A74" s="4" t="s">
        <v>214</v>
      </c>
      <c r="B74" s="8" t="s">
        <v>215</v>
      </c>
      <c r="C74" s="8" t="s">
        <v>172</v>
      </c>
      <c r="D74" s="11">
        <v>10552</v>
      </c>
      <c r="E74" s="11">
        <v>11178</v>
      </c>
      <c r="F74" s="11">
        <v>11659</v>
      </c>
      <c r="G74" s="11">
        <v>5668</v>
      </c>
      <c r="H74" s="11">
        <v>7959</v>
      </c>
      <c r="I74" s="8" t="s">
        <v>265</v>
      </c>
    </row>
    <row r="75" spans="1:9" x14ac:dyDescent="0.2">
      <c r="A75" s="4" t="s">
        <v>216</v>
      </c>
      <c r="B75" s="8" t="s">
        <v>217</v>
      </c>
      <c r="C75" s="8" t="s">
        <v>172</v>
      </c>
      <c r="D75" s="11">
        <v>-5020</v>
      </c>
      <c r="E75" s="11">
        <v>-5279</v>
      </c>
      <c r="F75" s="11">
        <v>-5583</v>
      </c>
      <c r="G75" s="11">
        <v>-2706</v>
      </c>
      <c r="H75" s="11">
        <v>-3537</v>
      </c>
      <c r="I75" s="8" t="s">
        <v>265</v>
      </c>
    </row>
    <row r="76" spans="1:9" x14ac:dyDescent="0.2">
      <c r="A76" s="4" t="s">
        <v>218</v>
      </c>
      <c r="B76" s="8" t="s">
        <v>219</v>
      </c>
      <c r="C76" s="8" t="s">
        <v>172</v>
      </c>
      <c r="D76" s="11">
        <v>5532</v>
      </c>
      <c r="E76" s="11">
        <v>5900</v>
      </c>
      <c r="F76" s="11">
        <v>6076</v>
      </c>
      <c r="G76" s="11">
        <v>2963</v>
      </c>
      <c r="H76" s="11">
        <v>4422</v>
      </c>
      <c r="I76" s="8" t="s">
        <v>265</v>
      </c>
    </row>
    <row r="77" spans="1:9" x14ac:dyDescent="0.2">
      <c r="A77" s="4" t="s">
        <v>220</v>
      </c>
      <c r="B77" s="8" t="s">
        <v>221</v>
      </c>
      <c r="C77" s="8" t="s">
        <v>222</v>
      </c>
      <c r="D77" s="10">
        <v>0.47599999999999998</v>
      </c>
      <c r="E77" s="10">
        <v>0.47199999999999998</v>
      </c>
      <c r="F77" s="10">
        <v>0.47899999999999998</v>
      </c>
      <c r="G77" s="10">
        <v>0.47739999999999999</v>
      </c>
      <c r="H77" s="10">
        <v>0.44440000000000002</v>
      </c>
      <c r="I77" s="8" t="s">
        <v>265</v>
      </c>
    </row>
    <row r="78" spans="1:9" x14ac:dyDescent="0.2">
      <c r="A78" s="4" t="s">
        <v>223</v>
      </c>
      <c r="B78" s="8" t="s">
        <v>224</v>
      </c>
      <c r="C78" s="8" t="s">
        <v>222</v>
      </c>
      <c r="D78" s="10">
        <v>2.5000000000000001E-2</v>
      </c>
      <c r="E78" s="10">
        <v>2.5000000000000001E-2</v>
      </c>
      <c r="F78" s="10">
        <v>2.4E-2</v>
      </c>
      <c r="G78" s="10">
        <v>2.3E-2</v>
      </c>
      <c r="H78" s="10">
        <v>2.5999999999999999E-2</v>
      </c>
      <c r="I78" s="8" t="s">
        <v>265</v>
      </c>
    </row>
    <row r="79" spans="1:9" x14ac:dyDescent="0.2">
      <c r="A79" s="4" t="s">
        <v>225</v>
      </c>
      <c r="B79" s="8" t="s">
        <v>226</v>
      </c>
      <c r="C79" s="8" t="s">
        <v>222</v>
      </c>
      <c r="D79" s="10">
        <v>5.9999999999999995E-4</v>
      </c>
      <c r="E79" s="10">
        <v>1.8E-3</v>
      </c>
      <c r="F79" s="10">
        <v>2.0999999999999999E-3</v>
      </c>
      <c r="G79" s="10">
        <v>1.6000000000000001E-3</v>
      </c>
      <c r="H79" s="10">
        <v>4.4000000000000003E-3</v>
      </c>
      <c r="I79" s="8" t="s">
        <v>265</v>
      </c>
    </row>
    <row r="80" spans="1:9" x14ac:dyDescent="0.2">
      <c r="A80" s="4" t="s">
        <v>227</v>
      </c>
      <c r="B80" s="8" t="s">
        <v>228</v>
      </c>
      <c r="C80" s="8" t="s">
        <v>222</v>
      </c>
      <c r="D80" s="10">
        <v>0.182</v>
      </c>
      <c r="E80" s="10">
        <v>0.21099999999999999</v>
      </c>
      <c r="F80" s="10">
        <v>0.20399999999999999</v>
      </c>
      <c r="G80" s="10">
        <v>0.20499999999999999</v>
      </c>
      <c r="H80" s="10">
        <v>0.24</v>
      </c>
      <c r="I80" s="8" t="s">
        <v>265</v>
      </c>
    </row>
    <row r="81" spans="1:9" x14ac:dyDescent="0.2">
      <c r="A81" s="4" t="s">
        <v>229</v>
      </c>
      <c r="B81" s="8" t="s">
        <v>230</v>
      </c>
      <c r="C81" s="8" t="s">
        <v>222</v>
      </c>
      <c r="D81" s="10">
        <v>0.17199999999999999</v>
      </c>
      <c r="E81" s="10">
        <v>0.16300000000000001</v>
      </c>
      <c r="F81" s="10">
        <v>0.16600000000000001</v>
      </c>
      <c r="G81" s="10">
        <v>0.16300000000000001</v>
      </c>
      <c r="H81" s="10">
        <v>0.19600000000000001</v>
      </c>
      <c r="I81" s="8" t="s">
        <v>265</v>
      </c>
    </row>
    <row r="82" spans="1:9" x14ac:dyDescent="0.2">
      <c r="A82" s="4" t="s">
        <v>231</v>
      </c>
      <c r="B82" s="8" t="s">
        <v>266</v>
      </c>
      <c r="C82" s="8" t="s">
        <v>222</v>
      </c>
      <c r="D82" s="10">
        <v>0.157</v>
      </c>
      <c r="E82" s="10">
        <v>0.153</v>
      </c>
      <c r="F82" s="10">
        <v>0.193</v>
      </c>
      <c r="G82" s="10">
        <v>0.17399999999999999</v>
      </c>
      <c r="H82" s="10">
        <v>0.152</v>
      </c>
      <c r="I82" s="8" t="s">
        <v>265</v>
      </c>
    </row>
    <row r="83" spans="1:9" x14ac:dyDescent="0.2">
      <c r="A83" s="4" t="s">
        <v>233</v>
      </c>
      <c r="B83" s="8" t="s">
        <v>234</v>
      </c>
      <c r="C83" s="8" t="s">
        <v>222</v>
      </c>
      <c r="D83" s="10">
        <v>2.3E-2</v>
      </c>
      <c r="E83" s="10">
        <v>2.5999999999999999E-2</v>
      </c>
      <c r="F83" s="10">
        <v>2.4E-2</v>
      </c>
      <c r="G83" s="10">
        <v>2.5000000000000001E-2</v>
      </c>
      <c r="H83" s="10">
        <v>2.3E-2</v>
      </c>
      <c r="I83" s="8" t="s">
        <v>265</v>
      </c>
    </row>
    <row r="84" spans="1:9" x14ac:dyDescent="0.2">
      <c r="A84" s="4" t="s">
        <v>235</v>
      </c>
      <c r="B84" s="8" t="s">
        <v>236</v>
      </c>
      <c r="C84" s="8" t="s">
        <v>222</v>
      </c>
      <c r="D84" s="10">
        <v>0.89300000000000002</v>
      </c>
      <c r="E84" s="10">
        <v>0.90200000000000002</v>
      </c>
      <c r="F84" s="10">
        <v>0.91700000000000004</v>
      </c>
      <c r="G84" s="10">
        <v>0.90100000000000002</v>
      </c>
      <c r="H84" s="10">
        <v>0.873</v>
      </c>
      <c r="I84" s="8" t="s">
        <v>265</v>
      </c>
    </row>
    <row r="85" spans="1:9" x14ac:dyDescent="0.2">
      <c r="A85" s="4" t="s">
        <v>267</v>
      </c>
      <c r="B85" s="8" t="s">
        <v>268</v>
      </c>
      <c r="C85" s="8" t="s">
        <v>172</v>
      </c>
      <c r="D85" s="11">
        <v>449</v>
      </c>
      <c r="E85" s="11">
        <v>437</v>
      </c>
      <c r="F85" s="11">
        <v>419</v>
      </c>
      <c r="G85" s="11">
        <v>200</v>
      </c>
      <c r="H85" s="11">
        <v>463</v>
      </c>
      <c r="I85" s="8" t="s">
        <v>265</v>
      </c>
    </row>
    <row r="86" spans="1:9" x14ac:dyDescent="0.2">
      <c r="A86" s="4" t="s">
        <v>269</v>
      </c>
      <c r="B86" s="8" t="s">
        <v>270</v>
      </c>
      <c r="C86" s="8" t="s">
        <v>55</v>
      </c>
      <c r="D86" s="12">
        <v>6.8</v>
      </c>
      <c r="E86" s="12">
        <v>7.2</v>
      </c>
      <c r="F86" s="12">
        <v>8.24</v>
      </c>
      <c r="G86" s="12">
        <v>3.93</v>
      </c>
      <c r="H86" s="12">
        <v>4.63</v>
      </c>
      <c r="I86" s="8" t="s">
        <v>271</v>
      </c>
    </row>
    <row r="87" spans="1:9" x14ac:dyDescent="0.2">
      <c r="A87" s="4" t="s">
        <v>272</v>
      </c>
      <c r="B87" s="8" t="s">
        <v>273</v>
      </c>
      <c r="C87" s="8" t="s">
        <v>55</v>
      </c>
      <c r="D87" s="12">
        <v>2.7</v>
      </c>
      <c r="E87" s="12">
        <v>3</v>
      </c>
      <c r="F87" s="12">
        <v>0.75</v>
      </c>
      <c r="I87" s="8" t="s">
        <v>274</v>
      </c>
    </row>
    <row r="91" spans="1:9" x14ac:dyDescent="0.2">
      <c r="A91" s="4" t="s">
        <v>275</v>
      </c>
    </row>
    <row r="92" spans="1:9" x14ac:dyDescent="0.2">
      <c r="A92" s="7" t="s">
        <v>153</v>
      </c>
      <c r="B92" s="7" t="s">
        <v>154</v>
      </c>
      <c r="C92" s="7" t="s">
        <v>42</v>
      </c>
      <c r="D92" s="7" t="s">
        <v>167</v>
      </c>
      <c r="E92" s="7" t="s">
        <v>168</v>
      </c>
      <c r="F92" s="7" t="s">
        <v>169</v>
      </c>
    </row>
    <row r="93" spans="1:9" x14ac:dyDescent="0.2">
      <c r="A93" s="4" t="s">
        <v>170</v>
      </c>
      <c r="B93" s="8" t="s">
        <v>171</v>
      </c>
      <c r="C93" s="8" t="s">
        <v>172</v>
      </c>
      <c r="D93" s="9">
        <v>680.56959400000005</v>
      </c>
      <c r="E93" s="9">
        <v>689.41495099999997</v>
      </c>
      <c r="F93" s="8" t="s">
        <v>276</v>
      </c>
    </row>
    <row r="94" spans="1:9" x14ac:dyDescent="0.2">
      <c r="A94" s="4" t="s">
        <v>174</v>
      </c>
      <c r="B94" s="8" t="s">
        <v>175</v>
      </c>
      <c r="C94" s="8" t="s">
        <v>172</v>
      </c>
      <c r="D94" s="9">
        <v>127.577952</v>
      </c>
      <c r="E94" s="9">
        <v>123.61081900000001</v>
      </c>
      <c r="F94" s="8" t="s">
        <v>276</v>
      </c>
    </row>
    <row r="95" spans="1:9" x14ac:dyDescent="0.2">
      <c r="A95" s="4" t="s">
        <v>176</v>
      </c>
      <c r="B95" s="8" t="s">
        <v>177</v>
      </c>
      <c r="C95" s="8" t="s">
        <v>172</v>
      </c>
      <c r="D95" s="9">
        <v>5.7330000000000002E-3</v>
      </c>
      <c r="E95" s="9">
        <v>13.357544000000001</v>
      </c>
      <c r="F95" s="8" t="s">
        <v>276</v>
      </c>
    </row>
    <row r="96" spans="1:9" x14ac:dyDescent="0.2">
      <c r="A96" s="4" t="s">
        <v>178</v>
      </c>
      <c r="B96" s="8" t="s">
        <v>179</v>
      </c>
      <c r="C96" s="8" t="s">
        <v>172</v>
      </c>
      <c r="D96" s="9">
        <v>84.660545999999997</v>
      </c>
      <c r="E96" s="9">
        <v>83.669034999999994</v>
      </c>
      <c r="F96" s="8" t="s">
        <v>276</v>
      </c>
    </row>
    <row r="97" spans="1:6" x14ac:dyDescent="0.2">
      <c r="A97" s="4" t="s">
        <v>180</v>
      </c>
      <c r="B97" s="8" t="s">
        <v>181</v>
      </c>
      <c r="C97" s="8" t="s">
        <v>172</v>
      </c>
      <c r="D97" s="9">
        <v>-1.1612000000000001E-2</v>
      </c>
      <c r="E97" s="9">
        <v>1.4422000000000001E-2</v>
      </c>
      <c r="F97" s="8" t="s">
        <v>276</v>
      </c>
    </row>
    <row r="98" spans="1:6" x14ac:dyDescent="0.2">
      <c r="A98" s="4" t="s">
        <v>182</v>
      </c>
      <c r="B98" s="8" t="s">
        <v>183</v>
      </c>
      <c r="C98" s="8" t="s">
        <v>172</v>
      </c>
      <c r="D98" s="9">
        <v>6.4059910000000002</v>
      </c>
      <c r="E98" s="9">
        <v>8.3402609999999999</v>
      </c>
      <c r="F98" s="8" t="s">
        <v>276</v>
      </c>
    </row>
    <row r="99" spans="1:6" x14ac:dyDescent="0.2">
      <c r="A99" s="4" t="s">
        <v>184</v>
      </c>
      <c r="B99" s="8" t="s">
        <v>185</v>
      </c>
      <c r="C99" s="8" t="s">
        <v>172</v>
      </c>
      <c r="D99" s="9">
        <v>1.567731</v>
      </c>
      <c r="E99" s="9">
        <v>1.5399860000000001</v>
      </c>
      <c r="F99" s="8" t="s">
        <v>276</v>
      </c>
    </row>
    <row r="100" spans="1:6" x14ac:dyDescent="0.2">
      <c r="A100" s="4" t="s">
        <v>277</v>
      </c>
      <c r="B100" s="8" t="s">
        <v>278</v>
      </c>
      <c r="C100" s="8" t="s">
        <v>172</v>
      </c>
      <c r="D100" s="9">
        <v>-358.580692</v>
      </c>
      <c r="E100" s="9">
        <v>-379.411629</v>
      </c>
      <c r="F100" s="8" t="s">
        <v>276</v>
      </c>
    </row>
    <row r="101" spans="1:6" x14ac:dyDescent="0.2">
      <c r="A101" s="4" t="s">
        <v>192</v>
      </c>
      <c r="B101" s="8" t="s">
        <v>193</v>
      </c>
      <c r="C101" s="8" t="s">
        <v>172</v>
      </c>
      <c r="D101" s="9">
        <v>-2.5032749999999999</v>
      </c>
      <c r="E101" s="9">
        <v>-1.5741999999999999E-2</v>
      </c>
      <c r="F101" s="8" t="s">
        <v>276</v>
      </c>
    </row>
    <row r="102" spans="1:6" x14ac:dyDescent="0.2">
      <c r="A102" s="4" t="s">
        <v>194</v>
      </c>
      <c r="B102" s="8" t="s">
        <v>195</v>
      </c>
      <c r="C102" s="8" t="s">
        <v>172</v>
      </c>
      <c r="D102" s="9">
        <v>0</v>
      </c>
      <c r="E102" s="9">
        <v>-5.7875000000000003E-2</v>
      </c>
      <c r="F102" s="8" t="s">
        <v>276</v>
      </c>
    </row>
    <row r="103" spans="1:6" x14ac:dyDescent="0.2">
      <c r="A103" s="4" t="s">
        <v>196</v>
      </c>
      <c r="B103" s="8" t="s">
        <v>197</v>
      </c>
      <c r="C103" s="8" t="s">
        <v>172</v>
      </c>
      <c r="D103" s="9">
        <v>-334.86242700000003</v>
      </c>
      <c r="E103" s="9">
        <v>-27.351248999999999</v>
      </c>
      <c r="F103" s="8" t="s">
        <v>276</v>
      </c>
    </row>
    <row r="104" spans="1:6" x14ac:dyDescent="0.2">
      <c r="A104" s="4" t="s">
        <v>198</v>
      </c>
      <c r="B104" s="8" t="s">
        <v>199</v>
      </c>
      <c r="C104" s="8" t="s">
        <v>172</v>
      </c>
      <c r="D104" s="9">
        <v>-85.167736000000005</v>
      </c>
      <c r="E104" s="9">
        <v>-32.690365999999997</v>
      </c>
      <c r="F104" s="8" t="s">
        <v>276</v>
      </c>
    </row>
    <row r="105" spans="1:6" x14ac:dyDescent="0.2">
      <c r="A105" s="4" t="s">
        <v>200</v>
      </c>
      <c r="B105" s="8" t="s">
        <v>201</v>
      </c>
      <c r="C105" s="8" t="s">
        <v>172</v>
      </c>
      <c r="D105" s="9">
        <v>-49.707172999999997</v>
      </c>
      <c r="E105" s="9">
        <v>-48.423758999999997</v>
      </c>
      <c r="F105" s="8" t="s">
        <v>276</v>
      </c>
    </row>
    <row r="106" spans="1:6" x14ac:dyDescent="0.2">
      <c r="A106" s="4" t="s">
        <v>202</v>
      </c>
      <c r="B106" s="8" t="s">
        <v>203</v>
      </c>
      <c r="C106" s="8" t="s">
        <v>172</v>
      </c>
      <c r="D106" s="9">
        <v>119.661805</v>
      </c>
      <c r="E106" s="9">
        <v>480.42015700000002</v>
      </c>
      <c r="F106" s="8" t="s">
        <v>276</v>
      </c>
    </row>
    <row r="107" spans="1:6" x14ac:dyDescent="0.2">
      <c r="A107" s="4" t="s">
        <v>204</v>
      </c>
      <c r="B107" s="8" t="s">
        <v>205</v>
      </c>
      <c r="C107" s="8" t="s">
        <v>172</v>
      </c>
      <c r="D107" s="9">
        <v>-78.868826999999996</v>
      </c>
      <c r="E107" s="9">
        <v>-161.69413900000001</v>
      </c>
      <c r="F107" s="8" t="s">
        <v>276</v>
      </c>
    </row>
    <row r="108" spans="1:6" x14ac:dyDescent="0.2">
      <c r="A108" s="4" t="s">
        <v>206</v>
      </c>
      <c r="B108" s="8" t="s">
        <v>207</v>
      </c>
      <c r="C108" s="8" t="s">
        <v>172</v>
      </c>
      <c r="D108" s="9">
        <v>40.792977999999998</v>
      </c>
      <c r="E108" s="9">
        <v>318.72601800000001</v>
      </c>
      <c r="F108" s="8" t="s">
        <v>276</v>
      </c>
    </row>
    <row r="109" spans="1:6" x14ac:dyDescent="0.2">
      <c r="A109" s="4" t="s">
        <v>208</v>
      </c>
      <c r="B109" s="8" t="s">
        <v>209</v>
      </c>
      <c r="C109" s="8" t="s">
        <v>172</v>
      </c>
      <c r="D109" s="9">
        <v>17.282907000000002</v>
      </c>
      <c r="E109" s="9">
        <v>159.20565999999999</v>
      </c>
      <c r="F109" s="8" t="s">
        <v>276</v>
      </c>
    </row>
    <row r="110" spans="1:6" x14ac:dyDescent="0.2">
      <c r="A110" s="4" t="s">
        <v>210</v>
      </c>
      <c r="B110" s="8" t="s">
        <v>211</v>
      </c>
      <c r="C110" s="8" t="s">
        <v>172</v>
      </c>
      <c r="D110" s="9">
        <v>23.510071</v>
      </c>
      <c r="E110" s="9">
        <v>159.52035799999999</v>
      </c>
      <c r="F110" s="8" t="s">
        <v>276</v>
      </c>
    </row>
    <row r="111" spans="1:6" x14ac:dyDescent="0.2">
      <c r="A111" s="4" t="s">
        <v>214</v>
      </c>
      <c r="B111" s="8" t="s">
        <v>215</v>
      </c>
      <c r="C111" s="8" t="s">
        <v>172</v>
      </c>
      <c r="D111" s="9">
        <v>900.775935</v>
      </c>
      <c r="E111" s="9">
        <v>919.94701799999996</v>
      </c>
      <c r="F111" s="8" t="s">
        <v>276</v>
      </c>
    </row>
    <row r="112" spans="1:6" x14ac:dyDescent="0.2">
      <c r="A112" s="4" t="s">
        <v>216</v>
      </c>
      <c r="B112" s="8" t="s">
        <v>217</v>
      </c>
      <c r="C112" s="8" t="s">
        <v>172</v>
      </c>
      <c r="D112" s="9">
        <v>-358.580692</v>
      </c>
      <c r="E112" s="9">
        <v>-379.411629</v>
      </c>
      <c r="F112" s="8" t="s">
        <v>276</v>
      </c>
    </row>
    <row r="113" spans="1:8" x14ac:dyDescent="0.2">
      <c r="A113" s="4" t="s">
        <v>218</v>
      </c>
      <c r="B113" s="8" t="s">
        <v>219</v>
      </c>
      <c r="C113" s="8" t="s">
        <v>172</v>
      </c>
      <c r="D113" s="9">
        <v>542.195243</v>
      </c>
      <c r="E113" s="9">
        <v>540.53538900000001</v>
      </c>
      <c r="F113" s="8" t="s">
        <v>276</v>
      </c>
    </row>
    <row r="117" spans="1:8" x14ac:dyDescent="0.2">
      <c r="A117" s="4" t="s">
        <v>279</v>
      </c>
    </row>
    <row r="118" spans="1:8" x14ac:dyDescent="0.2">
      <c r="A118" s="7" t="s">
        <v>280</v>
      </c>
      <c r="B118" s="7" t="s">
        <v>281</v>
      </c>
      <c r="C118" s="7" t="s">
        <v>282</v>
      </c>
      <c r="D118" s="7" t="s">
        <v>283</v>
      </c>
      <c r="E118" s="7" t="s">
        <v>42</v>
      </c>
      <c r="F118" s="7" t="s">
        <v>284</v>
      </c>
      <c r="G118" s="7" t="s">
        <v>169</v>
      </c>
      <c r="H118" s="7" t="s">
        <v>285</v>
      </c>
    </row>
    <row r="119" spans="1:8" x14ac:dyDescent="0.2">
      <c r="A119" s="4" t="s">
        <v>286</v>
      </c>
      <c r="B119" s="8" t="s">
        <v>263</v>
      </c>
      <c r="C119" s="8" t="s">
        <v>287</v>
      </c>
      <c r="D119" s="11">
        <v>-302</v>
      </c>
      <c r="E119" s="8" t="s">
        <v>172</v>
      </c>
      <c r="F119" s="8" t="s">
        <v>196</v>
      </c>
      <c r="G119" s="8" t="s">
        <v>116</v>
      </c>
      <c r="H119" s="8" t="s">
        <v>288</v>
      </c>
    </row>
    <row r="120" spans="1:8" x14ac:dyDescent="0.2">
      <c r="A120" s="4" t="s">
        <v>289</v>
      </c>
      <c r="B120" s="8" t="s">
        <v>263</v>
      </c>
      <c r="C120" s="8" t="s">
        <v>290</v>
      </c>
      <c r="D120" s="11">
        <v>-73</v>
      </c>
      <c r="E120" s="8" t="s">
        <v>172</v>
      </c>
      <c r="F120" s="8" t="s">
        <v>277</v>
      </c>
      <c r="G120" s="8" t="s">
        <v>116</v>
      </c>
      <c r="H120" s="8" t="s">
        <v>291</v>
      </c>
    </row>
    <row r="121" spans="1:8" x14ac:dyDescent="0.2">
      <c r="A121" s="4" t="s">
        <v>292</v>
      </c>
      <c r="B121" s="8" t="s">
        <v>263</v>
      </c>
      <c r="C121" s="8" t="s">
        <v>293</v>
      </c>
      <c r="D121" s="11">
        <v>116</v>
      </c>
      <c r="E121" s="8" t="s">
        <v>172</v>
      </c>
      <c r="F121" s="8" t="s">
        <v>198</v>
      </c>
      <c r="G121" s="8" t="s">
        <v>106</v>
      </c>
      <c r="H121" s="8" t="s">
        <v>294</v>
      </c>
    </row>
    <row r="122" spans="1:8" x14ac:dyDescent="0.2">
      <c r="A122" s="4" t="s">
        <v>295</v>
      </c>
      <c r="B122" s="8" t="s">
        <v>135</v>
      </c>
      <c r="C122" s="8" t="s">
        <v>296</v>
      </c>
      <c r="D122" s="11">
        <v>270</v>
      </c>
      <c r="E122" s="8" t="s">
        <v>172</v>
      </c>
      <c r="F122" s="8" t="s">
        <v>198</v>
      </c>
      <c r="G122" s="8" t="s">
        <v>124</v>
      </c>
      <c r="H122" s="8" t="s">
        <v>297</v>
      </c>
    </row>
    <row r="123" spans="1:8" x14ac:dyDescent="0.2">
      <c r="A123" s="4" t="s">
        <v>298</v>
      </c>
      <c r="B123" s="8" t="s">
        <v>135</v>
      </c>
      <c r="C123" s="8" t="s">
        <v>299</v>
      </c>
      <c r="D123" s="11">
        <v>213</v>
      </c>
      <c r="E123" s="8" t="s">
        <v>172</v>
      </c>
      <c r="F123" s="8" t="s">
        <v>210</v>
      </c>
      <c r="G123" s="8" t="s">
        <v>116</v>
      </c>
      <c r="H123" s="8" t="s">
        <v>300</v>
      </c>
    </row>
    <row r="124" spans="1:8" x14ac:dyDescent="0.2">
      <c r="A124" s="4" t="s">
        <v>301</v>
      </c>
      <c r="B124" s="8" t="s">
        <v>135</v>
      </c>
      <c r="C124" s="8" t="s">
        <v>302</v>
      </c>
      <c r="D124" s="11">
        <v>-38</v>
      </c>
      <c r="E124" s="8" t="s">
        <v>172</v>
      </c>
      <c r="F124" s="8" t="s">
        <v>277</v>
      </c>
      <c r="G124" s="8" t="s">
        <v>106</v>
      </c>
      <c r="H124" s="8" t="s">
        <v>303</v>
      </c>
    </row>
    <row r="125" spans="1:8" x14ac:dyDescent="0.2">
      <c r="A125" s="4" t="s">
        <v>304</v>
      </c>
      <c r="B125" s="8" t="s">
        <v>263</v>
      </c>
      <c r="C125" s="8" t="s">
        <v>305</v>
      </c>
      <c r="D125" s="11">
        <v>1821</v>
      </c>
      <c r="E125" s="8" t="s">
        <v>172</v>
      </c>
      <c r="F125" s="8"/>
      <c r="G125" s="8" t="s">
        <v>116</v>
      </c>
      <c r="H125" s="8" t="s">
        <v>306</v>
      </c>
    </row>
    <row r="126" spans="1:8" x14ac:dyDescent="0.2">
      <c r="A126" s="4" t="s">
        <v>307</v>
      </c>
      <c r="B126" s="8" t="s">
        <v>263</v>
      </c>
      <c r="C126" s="8" t="s">
        <v>308</v>
      </c>
      <c r="D126" s="11">
        <v>1370</v>
      </c>
      <c r="E126" s="8" t="s">
        <v>172</v>
      </c>
      <c r="F126" s="8"/>
      <c r="G126" s="8" t="s">
        <v>116</v>
      </c>
      <c r="H126" s="8" t="s">
        <v>306</v>
      </c>
    </row>
    <row r="127" spans="1:8" x14ac:dyDescent="0.2">
      <c r="A127" s="4" t="s">
        <v>309</v>
      </c>
      <c r="B127" s="8" t="s">
        <v>263</v>
      </c>
      <c r="C127" s="8" t="s">
        <v>310</v>
      </c>
      <c r="D127" s="11">
        <v>251</v>
      </c>
      <c r="E127" s="8" t="s">
        <v>172</v>
      </c>
      <c r="F127" s="8"/>
      <c r="G127" s="8" t="s">
        <v>116</v>
      </c>
      <c r="H127" s="8" t="s">
        <v>306</v>
      </c>
    </row>
    <row r="128" spans="1:8" x14ac:dyDescent="0.2">
      <c r="A128" s="4" t="s">
        <v>311</v>
      </c>
      <c r="B128" s="8" t="s">
        <v>263</v>
      </c>
      <c r="C128" s="8" t="s">
        <v>312</v>
      </c>
      <c r="D128" s="11">
        <v>738</v>
      </c>
      <c r="E128" s="8" t="s">
        <v>172</v>
      </c>
      <c r="F128" s="8"/>
      <c r="G128" s="8" t="s">
        <v>116</v>
      </c>
      <c r="H128" s="8" t="s">
        <v>306</v>
      </c>
    </row>
    <row r="129" spans="1:8" x14ac:dyDescent="0.2">
      <c r="A129" s="4" t="s">
        <v>313</v>
      </c>
      <c r="B129" s="8" t="s">
        <v>263</v>
      </c>
      <c r="C129" s="8" t="s">
        <v>314</v>
      </c>
      <c r="D129" s="11">
        <v>176</v>
      </c>
      <c r="E129" s="8" t="s">
        <v>172</v>
      </c>
      <c r="F129" s="8"/>
      <c r="G129" s="8" t="s">
        <v>116</v>
      </c>
      <c r="H129" s="8" t="s">
        <v>306</v>
      </c>
    </row>
    <row r="130" spans="1:8" x14ac:dyDescent="0.2">
      <c r="A130" s="4" t="s">
        <v>315</v>
      </c>
      <c r="B130" s="8" t="s">
        <v>263</v>
      </c>
      <c r="C130" s="8" t="s">
        <v>316</v>
      </c>
      <c r="D130" s="13">
        <v>6.0999999999999999E-2</v>
      </c>
      <c r="E130" s="8" t="s">
        <v>222</v>
      </c>
      <c r="F130" s="8"/>
      <c r="G130" s="8" t="s">
        <v>106</v>
      </c>
      <c r="H130" s="8" t="s">
        <v>317</v>
      </c>
    </row>
    <row r="131" spans="1:8" x14ac:dyDescent="0.2">
      <c r="A131" s="4" t="s">
        <v>318</v>
      </c>
      <c r="B131" s="8" t="s">
        <v>263</v>
      </c>
      <c r="C131" s="8" t="s">
        <v>319</v>
      </c>
      <c r="D131" s="13">
        <v>8.7999999999999995E-2</v>
      </c>
      <c r="E131" s="8" t="s">
        <v>222</v>
      </c>
      <c r="F131" s="8"/>
      <c r="G131" s="8" t="s">
        <v>106</v>
      </c>
      <c r="H131" s="8" t="s">
        <v>317</v>
      </c>
    </row>
  </sheetData>
  <pageMargins left="0.75" right="0.75" top="1" bottom="1" header="0.5" footer="0.5"/>
  <pageSetup fitToHeight="0" orientation="landscape"/>
  <tableParts count="4">
    <tablePart r:id="rId1"/>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21"/>
  <sheetViews>
    <sheetView showGridLines="0" workbookViewId="0">
      <pane xSplit="1" ySplit="5" topLeftCell="B6" activePane="bottomRight" state="frozen"/>
      <selection pane="topRight"/>
      <selection pane="bottomLeft"/>
      <selection pane="bottomRight"/>
    </sheetView>
  </sheetViews>
  <sheetFormatPr baseColWidth="10" defaultColWidth="8.83203125" defaultRowHeight="15" x14ac:dyDescent="0.2"/>
  <cols>
    <col min="1" max="1" width="26" customWidth="1"/>
    <col min="2" max="2" width="55" customWidth="1"/>
    <col min="3" max="3" width="42" customWidth="1"/>
    <col min="4" max="4" width="45" customWidth="1"/>
    <col min="5" max="5" width="30" customWidth="1"/>
    <col min="6" max="6" width="16" customWidth="1"/>
    <col min="7" max="7" width="48" customWidth="1"/>
    <col min="8" max="8" width="30" customWidth="1"/>
    <col min="9" max="9" width="28" customWidth="1"/>
  </cols>
  <sheetData>
    <row r="1" spans="1:9" ht="19" x14ac:dyDescent="0.25">
      <c r="A1" s="1" t="s">
        <v>320</v>
      </c>
    </row>
    <row r="2" spans="1:9" x14ac:dyDescent="0.2">
      <c r="A2" s="2" t="s">
        <v>321</v>
      </c>
    </row>
    <row r="3" spans="1:9" x14ac:dyDescent="0.2">
      <c r="A3" s="3" t="s">
        <v>322</v>
      </c>
    </row>
    <row r="5" spans="1:9" x14ac:dyDescent="0.2">
      <c r="A5" s="7" t="s">
        <v>323</v>
      </c>
      <c r="B5" s="7" t="s">
        <v>324</v>
      </c>
      <c r="C5" s="7" t="s">
        <v>325</v>
      </c>
      <c r="D5" s="7" t="s">
        <v>326</v>
      </c>
      <c r="E5" s="7" t="s">
        <v>327</v>
      </c>
      <c r="F5" s="7" t="s">
        <v>42</v>
      </c>
      <c r="G5" s="7" t="s">
        <v>328</v>
      </c>
      <c r="H5" s="7" t="s">
        <v>329</v>
      </c>
      <c r="I5" s="7" t="s">
        <v>330</v>
      </c>
    </row>
    <row r="6" spans="1:9" ht="45" x14ac:dyDescent="0.2">
      <c r="A6" s="5" t="s">
        <v>215</v>
      </c>
      <c r="B6" s="6" t="s">
        <v>331</v>
      </c>
      <c r="C6" s="6" t="s">
        <v>332</v>
      </c>
      <c r="D6" s="6" t="s">
        <v>147</v>
      </c>
      <c r="E6" s="6" t="s">
        <v>333</v>
      </c>
      <c r="F6" s="6" t="s">
        <v>172</v>
      </c>
      <c r="G6" s="6" t="s">
        <v>334</v>
      </c>
      <c r="H6" s="6" t="s">
        <v>335</v>
      </c>
      <c r="I6" s="6" t="s">
        <v>336</v>
      </c>
    </row>
    <row r="7" spans="1:9" ht="30" x14ac:dyDescent="0.2">
      <c r="A7" s="5" t="s">
        <v>217</v>
      </c>
      <c r="B7" s="6" t="s">
        <v>337</v>
      </c>
      <c r="C7" s="6" t="s">
        <v>338</v>
      </c>
      <c r="D7" s="6" t="s">
        <v>147</v>
      </c>
      <c r="E7" s="6" t="s">
        <v>339</v>
      </c>
      <c r="F7" s="6" t="s">
        <v>340</v>
      </c>
      <c r="G7" s="6" t="s">
        <v>341</v>
      </c>
      <c r="H7" s="6" t="s">
        <v>335</v>
      </c>
      <c r="I7" s="6" t="s">
        <v>342</v>
      </c>
    </row>
    <row r="8" spans="1:9" x14ac:dyDescent="0.2">
      <c r="A8" s="5" t="s">
        <v>219</v>
      </c>
      <c r="B8" s="6" t="s">
        <v>343</v>
      </c>
      <c r="C8" s="6" t="s">
        <v>344</v>
      </c>
      <c r="D8" s="6" t="s">
        <v>147</v>
      </c>
      <c r="E8" s="6" t="s">
        <v>339</v>
      </c>
      <c r="F8" s="6" t="s">
        <v>172</v>
      </c>
      <c r="G8" s="6" t="s">
        <v>341</v>
      </c>
      <c r="H8" s="6" t="s">
        <v>335</v>
      </c>
      <c r="I8" s="6" t="s">
        <v>345</v>
      </c>
    </row>
    <row r="9" spans="1:9" ht="30" x14ac:dyDescent="0.2">
      <c r="A9" s="5" t="s">
        <v>346</v>
      </c>
      <c r="B9" s="6" t="s">
        <v>347</v>
      </c>
      <c r="C9" s="6" t="s">
        <v>348</v>
      </c>
      <c r="D9" s="6" t="s">
        <v>215</v>
      </c>
      <c r="E9" s="6" t="s">
        <v>349</v>
      </c>
      <c r="F9" s="6" t="s">
        <v>350</v>
      </c>
      <c r="G9" s="6" t="s">
        <v>351</v>
      </c>
      <c r="H9" s="6" t="s">
        <v>335</v>
      </c>
      <c r="I9" s="6" t="s">
        <v>352</v>
      </c>
    </row>
    <row r="10" spans="1:9" ht="30" x14ac:dyDescent="0.2">
      <c r="A10" s="5" t="s">
        <v>353</v>
      </c>
      <c r="B10" s="6" t="s">
        <v>354</v>
      </c>
      <c r="C10" s="6" t="s">
        <v>355</v>
      </c>
      <c r="D10" s="6" t="s">
        <v>147</v>
      </c>
      <c r="E10" s="6" t="s">
        <v>339</v>
      </c>
      <c r="F10" s="6" t="s">
        <v>356</v>
      </c>
      <c r="G10" s="6" t="s">
        <v>341</v>
      </c>
      <c r="H10" s="6" t="s">
        <v>357</v>
      </c>
      <c r="I10" s="6" t="s">
        <v>358</v>
      </c>
    </row>
    <row r="11" spans="1:9" ht="45" x14ac:dyDescent="0.2">
      <c r="A11" s="5" t="s">
        <v>359</v>
      </c>
      <c r="B11" s="6" t="s">
        <v>360</v>
      </c>
      <c r="C11" s="6" t="s">
        <v>361</v>
      </c>
      <c r="D11" s="6" t="s">
        <v>362</v>
      </c>
      <c r="E11" s="6" t="s">
        <v>363</v>
      </c>
      <c r="F11" s="6" t="s">
        <v>364</v>
      </c>
      <c r="G11" s="6" t="s">
        <v>365</v>
      </c>
      <c r="H11" s="6" t="s">
        <v>366</v>
      </c>
      <c r="I11" s="6" t="s">
        <v>367</v>
      </c>
    </row>
    <row r="12" spans="1:9" ht="30" x14ac:dyDescent="0.2">
      <c r="A12" s="5" t="s">
        <v>368</v>
      </c>
      <c r="B12" s="6" t="s">
        <v>211</v>
      </c>
      <c r="C12" s="6" t="s">
        <v>369</v>
      </c>
      <c r="D12" s="6" t="s">
        <v>147</v>
      </c>
      <c r="E12" s="6" t="s">
        <v>339</v>
      </c>
      <c r="F12" s="6" t="s">
        <v>172</v>
      </c>
      <c r="G12" s="6" t="s">
        <v>341</v>
      </c>
      <c r="H12" s="6" t="s">
        <v>357</v>
      </c>
      <c r="I12" s="6" t="s">
        <v>370</v>
      </c>
    </row>
    <row r="13" spans="1:9" x14ac:dyDescent="0.2">
      <c r="A13" s="5" t="s">
        <v>228</v>
      </c>
      <c r="B13" s="6" t="s">
        <v>371</v>
      </c>
      <c r="C13" s="6" t="s">
        <v>372</v>
      </c>
      <c r="D13" s="6" t="s">
        <v>373</v>
      </c>
      <c r="E13" s="6" t="s">
        <v>374</v>
      </c>
      <c r="F13" s="6" t="s">
        <v>350</v>
      </c>
      <c r="G13" s="6" t="s">
        <v>375</v>
      </c>
      <c r="H13" s="6" t="s">
        <v>376</v>
      </c>
      <c r="I13" s="6" t="s">
        <v>377</v>
      </c>
    </row>
    <row r="14" spans="1:9" x14ac:dyDescent="0.2">
      <c r="A14" s="5" t="s">
        <v>378</v>
      </c>
      <c r="B14" s="6" t="s">
        <v>379</v>
      </c>
      <c r="C14" s="6" t="s">
        <v>209</v>
      </c>
      <c r="D14" s="6" t="s">
        <v>207</v>
      </c>
      <c r="E14" s="6" t="s">
        <v>374</v>
      </c>
      <c r="F14" s="6" t="s">
        <v>350</v>
      </c>
      <c r="G14" s="6" t="s">
        <v>380</v>
      </c>
      <c r="H14" s="6" t="s">
        <v>381</v>
      </c>
      <c r="I14" s="6" t="s">
        <v>382</v>
      </c>
    </row>
    <row r="15" spans="1:9" ht="30" x14ac:dyDescent="0.2">
      <c r="A15" s="5" t="s">
        <v>383</v>
      </c>
      <c r="B15" s="6" t="s">
        <v>384</v>
      </c>
      <c r="C15" s="6" t="s">
        <v>385</v>
      </c>
      <c r="D15" s="6" t="s">
        <v>386</v>
      </c>
      <c r="E15" s="6" t="s">
        <v>387</v>
      </c>
      <c r="F15" s="6" t="s">
        <v>350</v>
      </c>
      <c r="G15" s="6" t="s">
        <v>388</v>
      </c>
      <c r="H15" s="6" t="s">
        <v>381</v>
      </c>
      <c r="I15" s="6" t="s">
        <v>389</v>
      </c>
    </row>
    <row r="16" spans="1:9" x14ac:dyDescent="0.2">
      <c r="A16" s="5" t="s">
        <v>390</v>
      </c>
      <c r="B16" s="6" t="s">
        <v>391</v>
      </c>
      <c r="C16" s="6" t="s">
        <v>392</v>
      </c>
      <c r="D16" s="6" t="s">
        <v>393</v>
      </c>
      <c r="E16" s="6" t="s">
        <v>394</v>
      </c>
      <c r="F16" s="6" t="s">
        <v>395</v>
      </c>
      <c r="G16" s="6" t="s">
        <v>396</v>
      </c>
      <c r="H16" s="6" t="s">
        <v>397</v>
      </c>
      <c r="I16" s="6" t="s">
        <v>398</v>
      </c>
    </row>
    <row r="17" spans="1:9" x14ac:dyDescent="0.2">
      <c r="A17" s="5" t="s">
        <v>399</v>
      </c>
      <c r="B17" s="6" t="s">
        <v>400</v>
      </c>
      <c r="C17" s="6" t="s">
        <v>171</v>
      </c>
      <c r="D17" s="6" t="s">
        <v>215</v>
      </c>
      <c r="E17" s="6" t="s">
        <v>374</v>
      </c>
      <c r="F17" s="6" t="s">
        <v>350</v>
      </c>
      <c r="G17" s="6" t="s">
        <v>351</v>
      </c>
      <c r="H17" s="6" t="s">
        <v>381</v>
      </c>
      <c r="I17" s="6" t="s">
        <v>401</v>
      </c>
    </row>
    <row r="18" spans="1:9" ht="30" x14ac:dyDescent="0.2">
      <c r="A18" s="5" t="s">
        <v>402</v>
      </c>
      <c r="B18" s="6" t="s">
        <v>403</v>
      </c>
      <c r="C18" s="6" t="s">
        <v>404</v>
      </c>
      <c r="D18" s="6" t="s">
        <v>405</v>
      </c>
      <c r="E18" s="6" t="s">
        <v>363</v>
      </c>
      <c r="F18" s="6" t="s">
        <v>350</v>
      </c>
      <c r="G18" s="6" t="s">
        <v>406</v>
      </c>
      <c r="H18" s="6" t="s">
        <v>335</v>
      </c>
      <c r="I18" s="6" t="s">
        <v>407</v>
      </c>
    </row>
    <row r="19" spans="1:9" ht="30" x14ac:dyDescent="0.2">
      <c r="A19" s="5" t="s">
        <v>408</v>
      </c>
      <c r="B19" s="6" t="s">
        <v>409</v>
      </c>
      <c r="C19" s="6" t="s">
        <v>410</v>
      </c>
      <c r="D19" s="6" t="s">
        <v>411</v>
      </c>
      <c r="E19" s="6" t="s">
        <v>412</v>
      </c>
      <c r="F19" s="6" t="s">
        <v>350</v>
      </c>
      <c r="G19" s="6" t="s">
        <v>413</v>
      </c>
      <c r="H19" s="6" t="s">
        <v>335</v>
      </c>
      <c r="I19" s="6" t="s">
        <v>414</v>
      </c>
    </row>
    <row r="20" spans="1:9" ht="30" x14ac:dyDescent="0.2">
      <c r="A20" s="5" t="s">
        <v>415</v>
      </c>
      <c r="B20" s="6" t="s">
        <v>416</v>
      </c>
      <c r="C20" s="6" t="s">
        <v>417</v>
      </c>
      <c r="D20" s="6" t="s">
        <v>418</v>
      </c>
      <c r="E20" s="6" t="s">
        <v>363</v>
      </c>
      <c r="F20" s="6" t="s">
        <v>350</v>
      </c>
      <c r="G20" s="6" t="s">
        <v>419</v>
      </c>
      <c r="H20" s="6" t="s">
        <v>335</v>
      </c>
      <c r="I20" s="6" t="s">
        <v>420</v>
      </c>
    </row>
    <row r="21" spans="1:9" ht="30" x14ac:dyDescent="0.2">
      <c r="A21" s="5" t="s">
        <v>421</v>
      </c>
      <c r="B21" s="6" t="s">
        <v>422</v>
      </c>
      <c r="C21" s="6" t="s">
        <v>423</v>
      </c>
      <c r="D21" s="6" t="s">
        <v>424</v>
      </c>
      <c r="E21" s="6" t="s">
        <v>425</v>
      </c>
      <c r="F21" s="6" t="s">
        <v>426</v>
      </c>
      <c r="G21" s="6" t="s">
        <v>427</v>
      </c>
      <c r="H21" s="6" t="s">
        <v>381</v>
      </c>
      <c r="I21" s="6" t="s">
        <v>428</v>
      </c>
    </row>
  </sheetData>
  <pageMargins left="0.75" right="0.75" top="1" bottom="1" header="0.5" footer="0.5"/>
  <pageSetup fitToHeight="0" orientation="landscape"/>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51"/>
  <sheetViews>
    <sheetView showGridLines="0" workbookViewId="0">
      <pane xSplit="2" ySplit="7" topLeftCell="C8" activePane="bottomRight" state="frozen"/>
      <selection pane="topRight"/>
      <selection pane="bottomLeft"/>
      <selection pane="bottomRight"/>
    </sheetView>
  </sheetViews>
  <sheetFormatPr baseColWidth="10" defaultColWidth="8.83203125" defaultRowHeight="15" x14ac:dyDescent="0.2"/>
  <cols>
    <col min="1" max="1" width="7" customWidth="1"/>
    <col min="2" max="2" width="62" customWidth="1"/>
    <col min="3" max="3" width="9" customWidth="1"/>
    <col min="4" max="4" width="13" customWidth="1"/>
    <col min="5" max="8" width="11" customWidth="1"/>
    <col min="9" max="9" width="13" customWidth="1"/>
    <col min="10" max="10" width="34" customWidth="1"/>
    <col min="11" max="11" width="80" customWidth="1"/>
  </cols>
  <sheetData>
    <row r="1" spans="1:11" ht="19" x14ac:dyDescent="0.25">
      <c r="A1" s="1" t="s">
        <v>429</v>
      </c>
    </row>
    <row r="2" spans="1:11" x14ac:dyDescent="0.2">
      <c r="A2" s="2" t="s">
        <v>430</v>
      </c>
    </row>
    <row r="3" spans="1:11" x14ac:dyDescent="0.2">
      <c r="A3" s="3" t="s">
        <v>431</v>
      </c>
    </row>
    <row r="4" spans="1:11" x14ac:dyDescent="0.2">
      <c r="B4" s="4" t="s">
        <v>432</v>
      </c>
      <c r="C4" s="14" t="s">
        <v>433</v>
      </c>
      <c r="D4" s="8">
        <f>MATCH(C4,{"Base","Upside","Downside"},0)</f>
        <v>1</v>
      </c>
      <c r="E4" s="2" t="s">
        <v>434</v>
      </c>
    </row>
    <row r="6" spans="1:11" x14ac:dyDescent="0.2">
      <c r="A6" s="4" t="s">
        <v>435</v>
      </c>
    </row>
    <row r="7" spans="1:11" ht="30" x14ac:dyDescent="0.2">
      <c r="A7" s="7" t="s">
        <v>280</v>
      </c>
      <c r="B7" s="7" t="s">
        <v>436</v>
      </c>
      <c r="C7" s="7" t="s">
        <v>42</v>
      </c>
      <c r="D7" s="7" t="s">
        <v>437</v>
      </c>
      <c r="E7" s="7" t="s">
        <v>433</v>
      </c>
      <c r="F7" s="7" t="s">
        <v>438</v>
      </c>
      <c r="G7" s="7" t="s">
        <v>439</v>
      </c>
      <c r="H7" s="7" t="s">
        <v>440</v>
      </c>
      <c r="I7" s="7" t="s">
        <v>441</v>
      </c>
      <c r="J7" s="7" t="s">
        <v>442</v>
      </c>
      <c r="K7" s="7" t="s">
        <v>443</v>
      </c>
    </row>
    <row r="8" spans="1:11" x14ac:dyDescent="0.2">
      <c r="A8" s="4" t="s">
        <v>444</v>
      </c>
      <c r="B8" s="8" t="s">
        <v>445</v>
      </c>
      <c r="C8" s="8" t="s">
        <v>350</v>
      </c>
      <c r="D8" s="8" t="s">
        <v>446</v>
      </c>
      <c r="E8" s="15">
        <v>0.04</v>
      </c>
      <c r="F8" s="15">
        <v>5.5E-2</v>
      </c>
      <c r="G8" s="15">
        <v>0.01</v>
      </c>
      <c r="H8" s="16">
        <f t="shared" ref="H8:H29" si="0">CHOOSE($D$4,E8,F8,G8)</f>
        <v>0.04</v>
      </c>
      <c r="I8" s="17">
        <f>Forecast!I48</f>
        <v>4.2735786246084873E-2</v>
      </c>
      <c r="J8" s="8" t="s">
        <v>447</v>
      </c>
      <c r="K8" s="6" t="s">
        <v>448</v>
      </c>
    </row>
    <row r="9" spans="1:11" x14ac:dyDescent="0.2">
      <c r="A9" s="4" t="s">
        <v>449</v>
      </c>
      <c r="B9" s="8" t="s">
        <v>450</v>
      </c>
      <c r="C9" s="8" t="s">
        <v>350</v>
      </c>
      <c r="D9" s="8" t="s">
        <v>446</v>
      </c>
      <c r="E9" s="15">
        <v>0.06</v>
      </c>
      <c r="F9" s="15">
        <v>7.4999999999999997E-2</v>
      </c>
      <c r="G9" s="15">
        <v>0.02</v>
      </c>
      <c r="H9" s="16">
        <f t="shared" si="0"/>
        <v>0.06</v>
      </c>
      <c r="I9" s="17">
        <f>Forecast!I49</f>
        <v>6.8294182666620573E-2</v>
      </c>
      <c r="J9" s="8" t="s">
        <v>447</v>
      </c>
      <c r="K9" s="6" t="s">
        <v>451</v>
      </c>
    </row>
    <row r="10" spans="1:11" ht="30" x14ac:dyDescent="0.2">
      <c r="A10" s="4" t="s">
        <v>452</v>
      </c>
      <c r="B10" s="8" t="s">
        <v>453</v>
      </c>
      <c r="C10" s="8" t="s">
        <v>172</v>
      </c>
      <c r="D10" s="8" t="s">
        <v>446</v>
      </c>
      <c r="E10" s="18">
        <v>400</v>
      </c>
      <c r="F10" s="18">
        <v>450</v>
      </c>
      <c r="G10" s="18">
        <v>250</v>
      </c>
      <c r="H10" s="19">
        <f t="shared" si="0"/>
        <v>400</v>
      </c>
      <c r="I10" s="20">
        <f>Forecast!G10</f>
        <v>219.10444200000001</v>
      </c>
      <c r="J10" s="8" t="s">
        <v>454</v>
      </c>
      <c r="K10" s="6" t="s">
        <v>455</v>
      </c>
    </row>
    <row r="11" spans="1:11" x14ac:dyDescent="0.2">
      <c r="A11" s="4" t="s">
        <v>456</v>
      </c>
      <c r="B11" s="8" t="s">
        <v>457</v>
      </c>
      <c r="C11" s="8" t="s">
        <v>172</v>
      </c>
      <c r="D11" s="8" t="s">
        <v>446</v>
      </c>
      <c r="E11" s="18">
        <v>140</v>
      </c>
      <c r="F11" s="18">
        <v>150</v>
      </c>
      <c r="G11" s="18">
        <v>130</v>
      </c>
      <c r="H11" s="19">
        <f t="shared" si="0"/>
        <v>140</v>
      </c>
      <c r="I11" s="20">
        <f>Forecast!G11</f>
        <v>120.499346</v>
      </c>
      <c r="J11" s="8" t="s">
        <v>454</v>
      </c>
      <c r="K11" s="6" t="s">
        <v>458</v>
      </c>
    </row>
    <row r="12" spans="1:11" ht="30" x14ac:dyDescent="0.2">
      <c r="A12" s="4" t="s">
        <v>459</v>
      </c>
      <c r="B12" s="8" t="s">
        <v>460</v>
      </c>
      <c r="C12" s="8" t="s">
        <v>350</v>
      </c>
      <c r="D12" s="8" t="s">
        <v>446</v>
      </c>
      <c r="E12" s="15">
        <v>0.03</v>
      </c>
      <c r="F12" s="15">
        <v>1.4999999999999999E-2</v>
      </c>
      <c r="G12" s="15">
        <v>0.05</v>
      </c>
      <c r="H12" s="16">
        <f t="shared" si="0"/>
        <v>0.03</v>
      </c>
      <c r="I12" s="17">
        <f>Forecast!I52</f>
        <v>5.5215134458231896E-2</v>
      </c>
      <c r="J12" s="8" t="s">
        <v>447</v>
      </c>
      <c r="K12" s="6" t="s">
        <v>461</v>
      </c>
    </row>
    <row r="13" spans="1:11" x14ac:dyDescent="0.2">
      <c r="A13" s="4" t="s">
        <v>462</v>
      </c>
      <c r="B13" s="8" t="s">
        <v>463</v>
      </c>
      <c r="C13" s="8" t="s">
        <v>350</v>
      </c>
      <c r="D13" s="8" t="s">
        <v>446</v>
      </c>
      <c r="E13" s="15">
        <v>0.03</v>
      </c>
      <c r="F13" s="15">
        <v>3.5000000000000003E-2</v>
      </c>
      <c r="G13" s="15">
        <v>1.4999999999999999E-2</v>
      </c>
      <c r="H13" s="16">
        <f t="shared" si="0"/>
        <v>0.03</v>
      </c>
      <c r="I13" s="17">
        <f>Forecast!G26/Forecast!F26-1</f>
        <v>3.4127169133457036E-2</v>
      </c>
      <c r="J13" s="8" t="s">
        <v>464</v>
      </c>
      <c r="K13" s="6" t="s">
        <v>465</v>
      </c>
    </row>
    <row r="14" spans="1:11" ht="30" x14ac:dyDescent="0.2">
      <c r="A14" s="4" t="s">
        <v>466</v>
      </c>
      <c r="B14" s="8" t="s">
        <v>467</v>
      </c>
      <c r="C14" s="8" t="s">
        <v>468</v>
      </c>
      <c r="D14" s="8" t="s">
        <v>446</v>
      </c>
      <c r="E14" s="21">
        <v>27</v>
      </c>
      <c r="F14" s="21">
        <v>20</v>
      </c>
      <c r="G14" s="21">
        <v>50</v>
      </c>
      <c r="H14" s="22">
        <f t="shared" si="0"/>
        <v>27</v>
      </c>
      <c r="I14" s="23">
        <f>Forecast!G28</f>
        <v>25.480666472779081</v>
      </c>
      <c r="J14" s="8" t="s">
        <v>469</v>
      </c>
      <c r="K14" s="6" t="s">
        <v>470</v>
      </c>
    </row>
    <row r="15" spans="1:11" ht="30" x14ac:dyDescent="0.2">
      <c r="A15" s="4" t="s">
        <v>471</v>
      </c>
      <c r="B15" s="8" t="s">
        <v>472</v>
      </c>
      <c r="C15" s="8" t="s">
        <v>172</v>
      </c>
      <c r="D15" s="8" t="s">
        <v>446</v>
      </c>
      <c r="E15" s="18">
        <v>-300</v>
      </c>
      <c r="F15" s="18">
        <v>-270</v>
      </c>
      <c r="G15" s="18">
        <v>-350</v>
      </c>
      <c r="H15" s="19">
        <f t="shared" si="0"/>
        <v>-300</v>
      </c>
      <c r="I15" s="20">
        <f>Forecast!G16</f>
        <v>25.339315000000003</v>
      </c>
      <c r="J15" s="8" t="s">
        <v>473</v>
      </c>
      <c r="K15" s="6" t="s">
        <v>474</v>
      </c>
    </row>
    <row r="16" spans="1:11" x14ac:dyDescent="0.2">
      <c r="A16" s="4" t="s">
        <v>475</v>
      </c>
      <c r="B16" s="8" t="s">
        <v>476</v>
      </c>
      <c r="C16" s="8" t="s">
        <v>172</v>
      </c>
      <c r="D16" s="8" t="s">
        <v>446</v>
      </c>
      <c r="E16" s="18">
        <v>-15</v>
      </c>
      <c r="F16" s="18">
        <v>-5</v>
      </c>
      <c r="G16" s="18">
        <v>-40</v>
      </c>
      <c r="H16" s="19">
        <f t="shared" si="0"/>
        <v>-15</v>
      </c>
      <c r="I16" s="20">
        <f>Forecast!G17</f>
        <v>-25.884044000000003</v>
      </c>
      <c r="J16" s="8" t="s">
        <v>469</v>
      </c>
      <c r="K16" s="6" t="s">
        <v>477</v>
      </c>
    </row>
    <row r="17" spans="1:11" x14ac:dyDescent="0.2">
      <c r="A17" s="4" t="s">
        <v>478</v>
      </c>
      <c r="B17" s="8" t="s">
        <v>479</v>
      </c>
      <c r="C17" s="8" t="s">
        <v>350</v>
      </c>
      <c r="D17" s="8" t="s">
        <v>446</v>
      </c>
      <c r="E17" s="15">
        <v>0.23499999999999999</v>
      </c>
      <c r="F17" s="15">
        <v>0.23</v>
      </c>
      <c r="G17" s="15">
        <v>0.24</v>
      </c>
      <c r="H17" s="16">
        <f t="shared" si="0"/>
        <v>0.23499999999999999</v>
      </c>
      <c r="I17" s="17">
        <f>Forecast!H30</f>
        <v>0.23999999994294527</v>
      </c>
      <c r="J17" s="8" t="s">
        <v>480</v>
      </c>
      <c r="K17" s="6" t="s">
        <v>481</v>
      </c>
    </row>
    <row r="18" spans="1:11" ht="30" x14ac:dyDescent="0.2">
      <c r="A18" s="4" t="s">
        <v>482</v>
      </c>
      <c r="B18" s="8" t="s">
        <v>483</v>
      </c>
      <c r="C18" s="8" t="s">
        <v>350</v>
      </c>
      <c r="D18" s="8" t="s">
        <v>446</v>
      </c>
      <c r="E18" s="15">
        <v>0.27</v>
      </c>
      <c r="F18" s="15">
        <v>0.27</v>
      </c>
      <c r="G18" s="15">
        <v>0.27</v>
      </c>
      <c r="H18" s="16">
        <f t="shared" si="0"/>
        <v>0.27</v>
      </c>
      <c r="I18" s="17">
        <f>INDEX(tblQ[Q2 26],MATCH("NCI",tblQ[Code],0))/INDEX(tblQ[Q2 26],MATCH("NET_RESULT",tblQ[Code],0))</f>
        <v>0.27254245548786477</v>
      </c>
      <c r="J18" s="8" t="s">
        <v>484</v>
      </c>
      <c r="K18" s="6" t="s">
        <v>485</v>
      </c>
    </row>
    <row r="19" spans="1:11" x14ac:dyDescent="0.2">
      <c r="A19" s="4" t="s">
        <v>486</v>
      </c>
      <c r="B19" s="8" t="s">
        <v>487</v>
      </c>
      <c r="C19" s="8" t="s">
        <v>350</v>
      </c>
      <c r="D19" s="8" t="s">
        <v>488</v>
      </c>
      <c r="E19" s="15">
        <v>0.04</v>
      </c>
      <c r="F19" s="15">
        <v>0.06</v>
      </c>
      <c r="G19" s="15">
        <v>-0.02</v>
      </c>
      <c r="H19" s="16">
        <f t="shared" si="0"/>
        <v>0.04</v>
      </c>
      <c r="I19" s="17">
        <f>Forecast!E8/Forecast!D8-1</f>
        <v>3.4557197618067192E-2</v>
      </c>
      <c r="J19" s="8" t="s">
        <v>489</v>
      </c>
      <c r="K19" s="6" t="s">
        <v>490</v>
      </c>
    </row>
    <row r="20" spans="1:11" x14ac:dyDescent="0.2">
      <c r="A20" s="4" t="s">
        <v>491</v>
      </c>
      <c r="B20" s="8" t="s">
        <v>492</v>
      </c>
      <c r="C20" s="8" t="s">
        <v>350</v>
      </c>
      <c r="D20" s="8" t="s">
        <v>488</v>
      </c>
      <c r="E20" s="15">
        <v>0.06</v>
      </c>
      <c r="F20" s="15">
        <v>0.08</v>
      </c>
      <c r="G20" s="15">
        <v>0.02</v>
      </c>
      <c r="H20" s="16">
        <f t="shared" si="0"/>
        <v>0.06</v>
      </c>
      <c r="I20" s="17">
        <f>Forecast!E9/Forecast!D9-1</f>
        <v>8.6105199408548216E-2</v>
      </c>
      <c r="J20" s="8" t="s">
        <v>489</v>
      </c>
      <c r="K20" s="6" t="s">
        <v>493</v>
      </c>
    </row>
    <row r="21" spans="1:11" x14ac:dyDescent="0.2">
      <c r="A21" s="4" t="s">
        <v>494</v>
      </c>
      <c r="B21" s="8" t="s">
        <v>495</v>
      </c>
      <c r="C21" s="8" t="s">
        <v>172</v>
      </c>
      <c r="D21" s="8" t="s">
        <v>488</v>
      </c>
      <c r="E21" s="18">
        <v>800</v>
      </c>
      <c r="F21" s="18">
        <v>900</v>
      </c>
      <c r="G21" s="18">
        <v>500</v>
      </c>
      <c r="H21" s="19">
        <f t="shared" si="0"/>
        <v>800</v>
      </c>
      <c r="I21" s="20">
        <f>Forecast!J10</f>
        <v>863.1427470000001</v>
      </c>
      <c r="J21" s="8" t="s">
        <v>496</v>
      </c>
      <c r="K21" s="6" t="s">
        <v>497</v>
      </c>
    </row>
    <row r="22" spans="1:11" x14ac:dyDescent="0.2">
      <c r="A22" s="4" t="s">
        <v>498</v>
      </c>
      <c r="B22" s="8" t="s">
        <v>499</v>
      </c>
      <c r="C22" s="8" t="s">
        <v>172</v>
      </c>
      <c r="D22" s="8" t="s">
        <v>488</v>
      </c>
      <c r="E22" s="18">
        <v>330</v>
      </c>
      <c r="F22" s="18">
        <v>345</v>
      </c>
      <c r="G22" s="18">
        <v>310</v>
      </c>
      <c r="H22" s="19">
        <f t="shared" si="0"/>
        <v>330</v>
      </c>
      <c r="I22" s="20">
        <f>Forecast!J11</f>
        <v>320.424646</v>
      </c>
      <c r="J22" s="8" t="s">
        <v>496</v>
      </c>
      <c r="K22" s="6" t="s">
        <v>500</v>
      </c>
    </row>
    <row r="23" spans="1:11" ht="30" x14ac:dyDescent="0.2">
      <c r="A23" s="4" t="s">
        <v>501</v>
      </c>
      <c r="B23" s="8" t="s">
        <v>502</v>
      </c>
      <c r="C23" s="8" t="s">
        <v>350</v>
      </c>
      <c r="D23" s="8" t="s">
        <v>488</v>
      </c>
      <c r="E23" s="15">
        <v>0.02</v>
      </c>
      <c r="F23" s="15">
        <v>0.01</v>
      </c>
      <c r="G23" s="15">
        <v>0.04</v>
      </c>
      <c r="H23" s="16">
        <f t="shared" si="0"/>
        <v>0.02</v>
      </c>
      <c r="I23" s="17">
        <f>Forecast!E13/Forecast!D13-1</f>
        <v>5.7580528392709995E-2</v>
      </c>
      <c r="J23" s="8" t="s">
        <v>489</v>
      </c>
      <c r="K23" s="6" t="s">
        <v>503</v>
      </c>
    </row>
    <row r="24" spans="1:11" x14ac:dyDescent="0.2">
      <c r="A24" s="4" t="s">
        <v>504</v>
      </c>
      <c r="B24" s="8" t="s">
        <v>505</v>
      </c>
      <c r="C24" s="8" t="s">
        <v>350</v>
      </c>
      <c r="D24" s="8" t="s">
        <v>488</v>
      </c>
      <c r="E24" s="15">
        <v>0.06</v>
      </c>
      <c r="F24" s="15">
        <v>7.4999999999999997E-2</v>
      </c>
      <c r="G24" s="15">
        <v>2.5000000000000001E-2</v>
      </c>
      <c r="H24" s="16">
        <f t="shared" si="0"/>
        <v>0.06</v>
      </c>
      <c r="I24" s="17">
        <f>Forecast!E26/Forecast!D26-1</f>
        <v>6.2106062075287349E-2</v>
      </c>
      <c r="J24" s="8" t="s">
        <v>489</v>
      </c>
      <c r="K24" s="6" t="s">
        <v>506</v>
      </c>
    </row>
    <row r="25" spans="1:11" x14ac:dyDescent="0.2">
      <c r="A25" s="4" t="s">
        <v>507</v>
      </c>
      <c r="B25" s="8" t="s">
        <v>508</v>
      </c>
      <c r="C25" s="8" t="s">
        <v>468</v>
      </c>
      <c r="D25" s="8" t="s">
        <v>488</v>
      </c>
      <c r="E25" s="21">
        <v>27</v>
      </c>
      <c r="F25" s="21">
        <v>20</v>
      </c>
      <c r="G25" s="21">
        <v>60</v>
      </c>
      <c r="H25" s="22">
        <f t="shared" si="0"/>
        <v>27</v>
      </c>
      <c r="I25" s="23">
        <f>Forecast!E28</f>
        <v>20.900100865186936</v>
      </c>
      <c r="J25" s="8" t="s">
        <v>509</v>
      </c>
      <c r="K25" s="6" t="s">
        <v>510</v>
      </c>
    </row>
    <row r="26" spans="1:11" x14ac:dyDescent="0.2">
      <c r="A26" s="4" t="s">
        <v>511</v>
      </c>
      <c r="B26" s="8" t="s">
        <v>512</v>
      </c>
      <c r="C26" s="8" t="s">
        <v>172</v>
      </c>
      <c r="D26" s="8" t="s">
        <v>488</v>
      </c>
      <c r="E26" s="18">
        <v>-720</v>
      </c>
      <c r="F26" s="18">
        <v>-670</v>
      </c>
      <c r="G26" s="18">
        <v>-800</v>
      </c>
      <c r="H26" s="19">
        <f t="shared" si="0"/>
        <v>-720</v>
      </c>
      <c r="I26" s="20">
        <f>Forecast!J16</f>
        <v>-629.77842199999998</v>
      </c>
      <c r="J26" s="8" t="s">
        <v>496</v>
      </c>
      <c r="K26" s="6" t="s">
        <v>513</v>
      </c>
    </row>
    <row r="27" spans="1:11" x14ac:dyDescent="0.2">
      <c r="A27" s="4" t="s">
        <v>514</v>
      </c>
      <c r="B27" s="8" t="s">
        <v>515</v>
      </c>
      <c r="C27" s="8" t="s">
        <v>172</v>
      </c>
      <c r="D27" s="8" t="s">
        <v>488</v>
      </c>
      <c r="E27" s="18">
        <v>-20</v>
      </c>
      <c r="F27" s="18">
        <v>-10</v>
      </c>
      <c r="G27" s="18">
        <v>-60</v>
      </c>
      <c r="H27" s="19">
        <f t="shared" si="0"/>
        <v>-20</v>
      </c>
      <c r="I27" s="20">
        <f>Forecast!J17</f>
        <v>-18.635895999999999</v>
      </c>
      <c r="J27" s="8" t="s">
        <v>496</v>
      </c>
      <c r="K27" s="6" t="s">
        <v>477</v>
      </c>
    </row>
    <row r="28" spans="1:11" x14ac:dyDescent="0.2">
      <c r="A28" s="4" t="s">
        <v>516</v>
      </c>
      <c r="B28" s="8" t="s">
        <v>517</v>
      </c>
      <c r="C28" s="8" t="s">
        <v>350</v>
      </c>
      <c r="D28" s="8" t="s">
        <v>488</v>
      </c>
      <c r="E28" s="15">
        <v>0.23499999999999999</v>
      </c>
      <c r="F28" s="15">
        <v>0.23</v>
      </c>
      <c r="G28" s="15">
        <v>0.24</v>
      </c>
      <c r="H28" s="16">
        <f t="shared" si="0"/>
        <v>0.23499999999999999</v>
      </c>
      <c r="I28" s="17">
        <f>Forecast!H30</f>
        <v>0.23999999994294527</v>
      </c>
      <c r="J28" s="8" t="s">
        <v>480</v>
      </c>
      <c r="K28" s="6" t="s">
        <v>518</v>
      </c>
    </row>
    <row r="29" spans="1:11" x14ac:dyDescent="0.2">
      <c r="A29" s="4" t="s">
        <v>519</v>
      </c>
      <c r="B29" s="8" t="s">
        <v>520</v>
      </c>
      <c r="C29" s="8" t="s">
        <v>350</v>
      </c>
      <c r="D29" s="8" t="s">
        <v>488</v>
      </c>
      <c r="E29" s="15">
        <v>0.27</v>
      </c>
      <c r="F29" s="15">
        <v>0.27</v>
      </c>
      <c r="G29" s="15">
        <v>0.27</v>
      </c>
      <c r="H29" s="16">
        <f t="shared" si="0"/>
        <v>0.27</v>
      </c>
      <c r="I29" s="17">
        <f>INDEX(tblQ[Q2 26],MATCH("NCI",tblQ[Code],0))/INDEX(tblQ[Q2 26],MATCH("NET_RESULT",tblQ[Code],0))</f>
        <v>0.27254245548786477</v>
      </c>
      <c r="J29" s="8" t="s">
        <v>484</v>
      </c>
      <c r="K29" s="6" t="s">
        <v>521</v>
      </c>
    </row>
    <row r="32" spans="1:11" x14ac:dyDescent="0.2">
      <c r="A32" s="4" t="s">
        <v>522</v>
      </c>
    </row>
    <row r="33" spans="1:7" ht="30" x14ac:dyDescent="0.2">
      <c r="A33" s="7" t="s">
        <v>280</v>
      </c>
      <c r="B33" s="7" t="s">
        <v>523</v>
      </c>
      <c r="C33" s="7" t="s">
        <v>42</v>
      </c>
      <c r="D33" s="7" t="s">
        <v>524</v>
      </c>
      <c r="E33" s="7" t="s">
        <v>525</v>
      </c>
      <c r="F33" s="7" t="s">
        <v>526</v>
      </c>
      <c r="G33" s="7" t="s">
        <v>527</v>
      </c>
    </row>
    <row r="34" spans="1:7" x14ac:dyDescent="0.2">
      <c r="A34" s="4" t="s">
        <v>528</v>
      </c>
      <c r="B34" s="8" t="s">
        <v>171</v>
      </c>
      <c r="C34" s="8" t="s">
        <v>172</v>
      </c>
      <c r="D34" s="18">
        <v>11000</v>
      </c>
      <c r="E34" s="15">
        <v>0.49</v>
      </c>
      <c r="F34" s="17">
        <f>Forecast!J48</f>
        <v>0.48955416934004914</v>
      </c>
      <c r="G34" s="8" t="s">
        <v>529</v>
      </c>
    </row>
    <row r="35" spans="1:7" x14ac:dyDescent="0.2">
      <c r="A35" s="4" t="s">
        <v>530</v>
      </c>
      <c r="B35" s="8" t="s">
        <v>175</v>
      </c>
      <c r="C35" s="8" t="s">
        <v>172</v>
      </c>
      <c r="D35" s="18">
        <v>4000</v>
      </c>
      <c r="E35" s="15">
        <v>0.48299999999999998</v>
      </c>
      <c r="F35" s="17">
        <f>Forecast!J49</f>
        <v>0.48349104911637147</v>
      </c>
      <c r="G35" s="8" t="s">
        <v>531</v>
      </c>
    </row>
    <row r="36" spans="1:7" x14ac:dyDescent="0.2">
      <c r="A36" s="4" t="s">
        <v>532</v>
      </c>
      <c r="B36" s="8" t="s">
        <v>533</v>
      </c>
      <c r="C36" s="8" t="s">
        <v>172</v>
      </c>
      <c r="D36" s="18">
        <v>419</v>
      </c>
      <c r="E36" s="15">
        <v>0.5</v>
      </c>
      <c r="F36" s="17">
        <f>Forecast!J50</f>
        <v>0.50201272595230362</v>
      </c>
      <c r="G36" s="8" t="s">
        <v>534</v>
      </c>
    </row>
    <row r="37" spans="1:7" x14ac:dyDescent="0.2">
      <c r="A37" s="4" t="s">
        <v>535</v>
      </c>
      <c r="B37" s="8" t="s">
        <v>536</v>
      </c>
      <c r="C37" s="8" t="s">
        <v>172</v>
      </c>
      <c r="D37" s="18">
        <v>261</v>
      </c>
      <c r="E37" s="15">
        <v>0.54</v>
      </c>
      <c r="F37" s="17">
        <f>Forecast!J51</f>
        <v>0.54443908514034556</v>
      </c>
      <c r="G37" s="8" t="s">
        <v>537</v>
      </c>
    </row>
    <row r="38" spans="1:7" x14ac:dyDescent="0.2">
      <c r="A38" s="4" t="s">
        <v>538</v>
      </c>
      <c r="B38" s="8" t="s">
        <v>217</v>
      </c>
      <c r="C38" s="8" t="s">
        <v>172</v>
      </c>
      <c r="D38" s="18">
        <v>-7000</v>
      </c>
      <c r="E38" s="15">
        <v>0.48699999999999999</v>
      </c>
      <c r="F38" s="17">
        <f>Forecast!J52</f>
        <v>0.48660413391832558</v>
      </c>
      <c r="G38" s="8" t="s">
        <v>539</v>
      </c>
    </row>
    <row r="39" spans="1:7" x14ac:dyDescent="0.2">
      <c r="A39" s="4" t="s">
        <v>540</v>
      </c>
      <c r="B39" s="8" t="s">
        <v>541</v>
      </c>
      <c r="C39" s="8" t="s">
        <v>468</v>
      </c>
      <c r="D39" s="21">
        <v>27.5</v>
      </c>
      <c r="E39" s="15">
        <v>0.5</v>
      </c>
      <c r="F39" s="17" t="s">
        <v>147</v>
      </c>
      <c r="G39" s="8" t="s">
        <v>542</v>
      </c>
    </row>
    <row r="40" spans="1:7" x14ac:dyDescent="0.2">
      <c r="A40" s="4" t="s">
        <v>543</v>
      </c>
      <c r="B40" s="8" t="s">
        <v>544</v>
      </c>
      <c r="C40" s="8" t="s">
        <v>172</v>
      </c>
      <c r="D40" s="18">
        <v>280000</v>
      </c>
      <c r="E40" s="8" t="s">
        <v>147</v>
      </c>
      <c r="F40" s="17" t="s">
        <v>147</v>
      </c>
      <c r="G40" s="8" t="s">
        <v>545</v>
      </c>
    </row>
    <row r="41" spans="1:7" x14ac:dyDescent="0.2">
      <c r="A41" s="4" t="s">
        <v>546</v>
      </c>
      <c r="B41" s="8" t="s">
        <v>547</v>
      </c>
      <c r="C41" s="8" t="s">
        <v>172</v>
      </c>
      <c r="D41" s="18">
        <v>-300</v>
      </c>
      <c r="E41" s="15">
        <v>1</v>
      </c>
      <c r="F41" s="17" t="s">
        <v>147</v>
      </c>
      <c r="G41" s="8" t="s">
        <v>548</v>
      </c>
    </row>
    <row r="42" spans="1:7" x14ac:dyDescent="0.2">
      <c r="A42" s="4" t="s">
        <v>549</v>
      </c>
      <c r="B42" s="8" t="s">
        <v>199</v>
      </c>
      <c r="C42" s="8" t="s">
        <v>172</v>
      </c>
      <c r="D42" s="18">
        <v>-600</v>
      </c>
      <c r="E42" s="15">
        <v>0.6</v>
      </c>
      <c r="F42" s="17" t="str">
        <f>Forecast!J53</f>
        <v>n.m.</v>
      </c>
      <c r="G42" s="8" t="s">
        <v>550</v>
      </c>
    </row>
    <row r="43" spans="1:7" x14ac:dyDescent="0.2">
      <c r="A43" s="4" t="s">
        <v>551</v>
      </c>
      <c r="B43" s="8" t="s">
        <v>552</v>
      </c>
      <c r="C43" s="8" t="s">
        <v>172</v>
      </c>
      <c r="D43" s="18">
        <v>0</v>
      </c>
      <c r="E43" s="15">
        <v>0.5</v>
      </c>
      <c r="F43" s="17" t="s">
        <v>147</v>
      </c>
      <c r="G43" s="8" t="s">
        <v>553</v>
      </c>
    </row>
    <row r="44" spans="1:7" x14ac:dyDescent="0.2">
      <c r="A44" s="4" t="s">
        <v>554</v>
      </c>
      <c r="B44" s="8" t="s">
        <v>228</v>
      </c>
      <c r="C44" s="8" t="s">
        <v>350</v>
      </c>
      <c r="D44" s="15">
        <v>0.23499999999999999</v>
      </c>
      <c r="E44" s="8" t="s">
        <v>147</v>
      </c>
      <c r="F44" s="17" t="s">
        <v>147</v>
      </c>
      <c r="G44" s="8" t="s">
        <v>555</v>
      </c>
    </row>
    <row r="45" spans="1:7" x14ac:dyDescent="0.2">
      <c r="A45" s="4" t="s">
        <v>556</v>
      </c>
      <c r="B45" s="8" t="s">
        <v>557</v>
      </c>
      <c r="C45" s="8" t="s">
        <v>350</v>
      </c>
      <c r="D45" s="15">
        <v>0.27</v>
      </c>
      <c r="E45" s="8" t="s">
        <v>147</v>
      </c>
      <c r="F45" s="17" t="s">
        <v>147</v>
      </c>
      <c r="G45" s="8" t="s">
        <v>558</v>
      </c>
    </row>
    <row r="48" spans="1:7" x14ac:dyDescent="0.2">
      <c r="A48" s="4" t="s">
        <v>559</v>
      </c>
    </row>
    <row r="49" spans="2:8" x14ac:dyDescent="0.2">
      <c r="B49" s="8" t="s">
        <v>560</v>
      </c>
      <c r="C49" s="18">
        <v>50</v>
      </c>
    </row>
    <row r="50" spans="2:8" x14ac:dyDescent="0.2">
      <c r="B50" s="8" t="s">
        <v>561</v>
      </c>
      <c r="C50" s="15">
        <v>0</v>
      </c>
      <c r="D50" s="15">
        <v>-2.5000000000000001E-2</v>
      </c>
      <c r="E50" s="15">
        <v>-0.05</v>
      </c>
      <c r="F50" s="15">
        <v>-7.4999999999999997E-2</v>
      </c>
      <c r="G50" s="15">
        <v>-0.1</v>
      </c>
    </row>
    <row r="51" spans="2:8" x14ac:dyDescent="0.2">
      <c r="B51" s="8" t="s">
        <v>562</v>
      </c>
      <c r="C51" s="21">
        <v>0</v>
      </c>
      <c r="D51" s="21">
        <v>10</v>
      </c>
      <c r="E51" s="21">
        <v>20</v>
      </c>
      <c r="F51" s="21">
        <v>40</v>
      </c>
      <c r="G51" s="21">
        <v>60</v>
      </c>
      <c r="H51" s="21">
        <v>80</v>
      </c>
    </row>
  </sheetData>
  <dataValidations count="1">
    <dataValidation type="list" sqref="C4" xr:uid="{00000000-0002-0000-0400-000000000000}">
      <formula1>"Base,Upside,Downside"</formula1>
    </dataValidation>
  </dataValidations>
  <pageMargins left="0.75" right="0.75" top="1" bottom="1" header="0.5" footer="0.5"/>
  <pageSetup fitToHeight="0" orientation="landscape"/>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53"/>
  <sheetViews>
    <sheetView showGridLines="0" workbookViewId="0">
      <pane xSplit="2" ySplit="6" topLeftCell="C7" activePane="bottomRight" state="frozen"/>
      <selection pane="topRight"/>
      <selection pane="bottomLeft"/>
      <selection pane="bottomRight"/>
    </sheetView>
  </sheetViews>
  <sheetFormatPr baseColWidth="10" defaultColWidth="8.83203125" defaultRowHeight="15" x14ac:dyDescent="0.2"/>
  <cols>
    <col min="1" max="1" width="17" customWidth="1"/>
    <col min="2" max="2" width="60" customWidth="1"/>
    <col min="3" max="11" width="12" customWidth="1"/>
    <col min="12" max="12" width="95" customWidth="1"/>
  </cols>
  <sheetData>
    <row r="1" spans="1:12" ht="19" x14ac:dyDescent="0.25">
      <c r="A1" s="1" t="s">
        <v>563</v>
      </c>
    </row>
    <row r="2" spans="1:12" x14ac:dyDescent="0.2">
      <c r="A2" s="2" t="s">
        <v>564</v>
      </c>
    </row>
    <row r="3" spans="1:12" x14ac:dyDescent="0.2">
      <c r="A3" s="3" t="s">
        <v>565</v>
      </c>
    </row>
    <row r="5" spans="1:12" x14ac:dyDescent="0.2">
      <c r="B5" s="4" t="str">
        <f>"Selected scenario: "&amp;Assumptions!C4</f>
        <v>Selected scenario: Base</v>
      </c>
    </row>
    <row r="6" spans="1:12" x14ac:dyDescent="0.2">
      <c r="A6" s="7" t="s">
        <v>153</v>
      </c>
      <c r="B6" s="7" t="s">
        <v>154</v>
      </c>
      <c r="C6" s="7" t="s">
        <v>566</v>
      </c>
      <c r="D6" s="7" t="s">
        <v>567</v>
      </c>
      <c r="E6" s="7" t="s">
        <v>568</v>
      </c>
      <c r="F6" s="7" t="s">
        <v>569</v>
      </c>
      <c r="G6" s="7" t="s">
        <v>570</v>
      </c>
      <c r="H6" s="7" t="s">
        <v>571</v>
      </c>
      <c r="I6" s="24" t="s">
        <v>446</v>
      </c>
      <c r="J6" s="24" t="s">
        <v>572</v>
      </c>
      <c r="K6" s="24" t="s">
        <v>488</v>
      </c>
      <c r="L6" s="7" t="s">
        <v>573</v>
      </c>
    </row>
    <row r="7" spans="1:12" x14ac:dyDescent="0.2">
      <c r="A7" s="4" t="s">
        <v>574</v>
      </c>
    </row>
    <row r="8" spans="1:12" x14ac:dyDescent="0.2">
      <c r="A8" s="8" t="s">
        <v>170</v>
      </c>
      <c r="B8" s="8" t="s">
        <v>171</v>
      </c>
      <c r="C8" s="20">
        <f>SUM(INDEX(tblQ[[Q1 23]:[Q4 23]],MATCH("NII",tblQ[Code],0),0))</f>
        <v>7227.9007829999991</v>
      </c>
      <c r="D8" s="20">
        <f>SUM(INDEX(tblQ[[Q1 24]:[Q4 24]],MATCH("NII",tblQ[Code],0),0))</f>
        <v>7528.2661769999995</v>
      </c>
      <c r="E8" s="20">
        <f>SUM(INDEX(tblQ[[Q1 25]:[Q4 25]],MATCH("NII",tblQ[Code],0),0))</f>
        <v>7788.4219590000002</v>
      </c>
      <c r="F8" s="20">
        <f>SUM(INDEX(tblQ[[Q1 25]:[Q2 25]],MATCH("NII",tblQ[Code],0),0))</f>
        <v>3786.412233</v>
      </c>
      <c r="G8" s="20">
        <f>SUM(INDEX(tblQ[[Q3 25]:[Q4 25]],MATCH("NII",tblQ[Code],0),0))</f>
        <v>4002.0097260000002</v>
      </c>
      <c r="H8" s="20">
        <f>SUM(INDEX(tblQ[[Q1 26]:[Q2 26]],MATCH("NII",tblQ[Code],0),0))</f>
        <v>5386.4017220000005</v>
      </c>
      <c r="I8" s="20">
        <f>$H8*(1+Assumptions!$H$8)</f>
        <v>5601.8577908800007</v>
      </c>
      <c r="J8" s="20">
        <f>$H8+I8</f>
        <v>10988.259512880002</v>
      </c>
      <c r="K8" s="20">
        <f>J8*(1+Assumptions!$H$19)</f>
        <v>11427.789893395202</v>
      </c>
      <c r="L8" s="2" t="s">
        <v>575</v>
      </c>
    </row>
    <row r="9" spans="1:12" x14ac:dyDescent="0.2">
      <c r="A9" s="8" t="s">
        <v>174</v>
      </c>
      <c r="B9" s="8" t="s">
        <v>175</v>
      </c>
      <c r="C9" s="20">
        <f>SUM(INDEX(tblQ[[Q1 23]:[Q4 23]],MATCH("NFCI",tblQ[Code],0),0))</f>
        <v>2639.5906459999997</v>
      </c>
      <c r="D9" s="20">
        <f>SUM(INDEX(tblQ[[Q1 24]:[Q4 24]],MATCH("NFCI",tblQ[Code],0),0))</f>
        <v>2937.5871809999999</v>
      </c>
      <c r="E9" s="20">
        <f>SUM(INDEX(tblQ[[Q1 25]:[Q4 25]],MATCH("NFCI",tblQ[Code],0),0))</f>
        <v>3190.5287109999999</v>
      </c>
      <c r="F9" s="20">
        <f>SUM(INDEX(tblQ[[Q1 25]:[Q2 25]],MATCH("NFCI",tblQ[Code],0),0))</f>
        <v>1541.6659999999999</v>
      </c>
      <c r="G9" s="20">
        <f>SUM(INDEX(tblQ[[Q3 25]:[Q4 25]],MATCH("NFCI",tblQ[Code],0),0))</f>
        <v>1648.862711</v>
      </c>
      <c r="H9" s="20">
        <f>SUM(INDEX(tblQ[[Q1 26]:[Q2 26]],MATCH("NFCI",tblQ[Code],0),0))</f>
        <v>1928.7587010000002</v>
      </c>
      <c r="I9" s="20">
        <f>$H9*(1+Assumptions!$H$9)</f>
        <v>2044.4842230600002</v>
      </c>
      <c r="J9" s="20">
        <f>$H9+I9</f>
        <v>3973.2429240600004</v>
      </c>
      <c r="K9" s="20">
        <f>J9*(1+Assumptions!$H$20)</f>
        <v>4211.6374995036003</v>
      </c>
      <c r="L9" s="2" t="s">
        <v>576</v>
      </c>
    </row>
    <row r="10" spans="1:12" x14ac:dyDescent="0.2">
      <c r="A10" s="8" t="s">
        <v>577</v>
      </c>
      <c r="B10" s="8" t="s">
        <v>533</v>
      </c>
      <c r="C10" s="20">
        <f>SUM(INDEX(tblQ[[Q1 23]:[Q4 23]],MATCH("TRADING",tblQ[Code],0),0))+SUM(INDEX(tblQ[[Q1 23]:[Q4 23]],MATCH("FVPL",tblQ[Code],0),0))</f>
        <v>448.56046900000001</v>
      </c>
      <c r="D10" s="20">
        <f>SUM(INDEX(tblQ[[Q1 24]:[Q4 24]],MATCH("TRADING",tblQ[Code],0),0))+SUM(INDEX(tblQ[[Q1 24]:[Q4 24]],MATCH("FVPL",tblQ[Code],0),0))</f>
        <v>437.127657</v>
      </c>
      <c r="E10" s="20">
        <f>SUM(INDEX(tblQ[[Q1 25]:[Q4 25]],MATCH("TRADING",tblQ[Code],0),0))+SUM(INDEX(tblQ[[Q1 25]:[Q4 25]],MATCH("FVPL",tblQ[Code],0),0))</f>
        <v>419.40631099999996</v>
      </c>
      <c r="F10" s="20">
        <f>SUM(INDEX(tblQ[[Q1 25]:[Q2 25]],MATCH("TRADING",tblQ[Code],0),0))+SUM(INDEX(tblQ[[Q1 25]:[Q2 25]],MATCH("FVPL",tblQ[Code],0),0))</f>
        <v>200.30186900000001</v>
      </c>
      <c r="G10" s="20">
        <f>SUM(INDEX(tblQ[[Q3 25]:[Q4 25]],MATCH("TRADING",tblQ[Code],0),0))+SUM(INDEX(tblQ[[Q3 25]:[Q4 25]],MATCH("FVPL",tblQ[Code],0),0))</f>
        <v>219.10444200000001</v>
      </c>
      <c r="H10" s="20">
        <f>SUM(INDEX(tblQ[[Q1 26]:[Q2 26]],MATCH("TRADING",tblQ[Code],0),0))+SUM(INDEX(tblQ[[Q1 26]:[Q2 26]],MATCH("FVPL",tblQ[Code],0),0))</f>
        <v>463.14274700000004</v>
      </c>
      <c r="I10" s="20">
        <f>Assumptions!$H$10</f>
        <v>400</v>
      </c>
      <c r="J10" s="20">
        <f>$H10+I10</f>
        <v>863.1427470000001</v>
      </c>
      <c r="K10" s="20">
        <f>Assumptions!$H$21</f>
        <v>800</v>
      </c>
      <c r="L10" s="2" t="s">
        <v>578</v>
      </c>
    </row>
    <row r="11" spans="1:12" x14ac:dyDescent="0.2">
      <c r="A11" s="8" t="s">
        <v>579</v>
      </c>
      <c r="B11" s="8" t="s">
        <v>580</v>
      </c>
      <c r="C11" s="20">
        <f>SUM(INDEX(tblQ[[Q1 23]:[Q4 23]],MATCH("DIV",tblQ[Code],0),0))+SUM(INDEX(tblQ[[Q1 23]:[Q4 23]],MATCH("EQUITY_METHOD",tblQ[Code],0),0))+SUM(INDEX(tblQ[[Q1 23]:[Q4 23]],MATCH("RENTAL",tblQ[Code],0),0))</f>
        <v>235.56153999999998</v>
      </c>
      <c r="D11" s="20">
        <f>SUM(INDEX(tblQ[[Q1 24]:[Q4 24]],MATCH("DIV",tblQ[Code],0),0))+SUM(INDEX(tblQ[[Q1 24]:[Q4 24]],MATCH("EQUITY_METHOD",tblQ[Code],0),0))+SUM(INDEX(tblQ[[Q1 24]:[Q4 24]],MATCH("RENTAL",tblQ[Code],0),0))</f>
        <v>275.49233700000002</v>
      </c>
      <c r="E11" s="20">
        <f>SUM(INDEX(tblQ[[Q1 25]:[Q4 25]],MATCH("DIV",tblQ[Code],0),0))+SUM(INDEX(tblQ[[Q1 25]:[Q4 25]],MATCH("EQUITY_METHOD",tblQ[Code],0),0))+SUM(INDEX(tblQ[[Q1 25]:[Q4 25]],MATCH("RENTAL",tblQ[Code],0),0))</f>
        <v>260.53472199999999</v>
      </c>
      <c r="F11" s="20">
        <f>SUM(INDEX(tblQ[[Q1 25]:[Q2 25]],MATCH("DIV",tblQ[Code],0),0))+SUM(INDEX(tblQ[[Q1 25]:[Q2 25]],MATCH("EQUITY_METHOD",tblQ[Code],0),0))+SUM(INDEX(tblQ[[Q1 25]:[Q2 25]],MATCH("RENTAL",tblQ[Code],0),0))</f>
        <v>140.03537599999999</v>
      </c>
      <c r="G11" s="20">
        <f>SUM(INDEX(tblQ[[Q3 25]:[Q4 25]],MATCH("DIV",tblQ[Code],0),0))+SUM(INDEX(tblQ[[Q3 25]:[Q4 25]],MATCH("EQUITY_METHOD",tblQ[Code],0),0))+SUM(INDEX(tblQ[[Q3 25]:[Q4 25]],MATCH("RENTAL",tblQ[Code],0),0))</f>
        <v>120.499346</v>
      </c>
      <c r="H11" s="20">
        <f>SUM(INDEX(tblQ[[Q1 26]:[Q2 26]],MATCH("DIV",tblQ[Code],0),0))+SUM(INDEX(tblQ[[Q1 26]:[Q2 26]],MATCH("EQUITY_METHOD",tblQ[Code],0),0))+SUM(INDEX(tblQ[[Q1 26]:[Q2 26]],MATCH("RENTAL",tblQ[Code],0),0))</f>
        <v>180.424646</v>
      </c>
      <c r="I11" s="20">
        <f>Assumptions!$H$11</f>
        <v>140</v>
      </c>
      <c r="J11" s="20">
        <f>$H11+I11</f>
        <v>320.424646</v>
      </c>
      <c r="K11" s="20">
        <f>Assumptions!$H$22</f>
        <v>330</v>
      </c>
      <c r="L11" s="2" t="s">
        <v>581</v>
      </c>
    </row>
    <row r="12" spans="1:12" x14ac:dyDescent="0.2">
      <c r="A12" s="25" t="s">
        <v>582</v>
      </c>
      <c r="B12" s="25" t="s">
        <v>215</v>
      </c>
      <c r="C12" s="26">
        <f t="shared" ref="C12:K12" si="0">SUM(C8:C11)</f>
        <v>10551.613437999998</v>
      </c>
      <c r="D12" s="26">
        <f t="shared" si="0"/>
        <v>11178.473352000001</v>
      </c>
      <c r="E12" s="26">
        <f t="shared" si="0"/>
        <v>11658.891703000001</v>
      </c>
      <c r="F12" s="26">
        <f t="shared" si="0"/>
        <v>5668.4154779999999</v>
      </c>
      <c r="G12" s="26">
        <f t="shared" si="0"/>
        <v>5990.4762249999994</v>
      </c>
      <c r="H12" s="26">
        <f t="shared" si="0"/>
        <v>7958.7278160000014</v>
      </c>
      <c r="I12" s="26">
        <f t="shared" si="0"/>
        <v>8186.3420139400005</v>
      </c>
      <c r="J12" s="26">
        <f t="shared" si="0"/>
        <v>16145.069829940001</v>
      </c>
      <c r="K12" s="26">
        <f t="shared" si="0"/>
        <v>16769.427392898804</v>
      </c>
      <c r="L12" s="2" t="s">
        <v>583</v>
      </c>
    </row>
    <row r="13" spans="1:12" x14ac:dyDescent="0.2">
      <c r="A13" s="8" t="s">
        <v>277</v>
      </c>
      <c r="B13" s="8" t="s">
        <v>217</v>
      </c>
      <c r="C13" s="20">
        <f>SUM(INDEX(tblQ[[Q1 23]:[Q4 23]],MATCH("PERSONNEL",tblQ[Code],0),0))+SUM(INDEX(tblQ[[Q1 23]:[Q4 23]],MATCH("OTHER_ADMIN",tblQ[Code],0),0))+SUM(INDEX(tblQ[[Q1 23]:[Q4 23]],MATCH("DA",tblQ[Code],0),0))</f>
        <v>-5019.6050399999995</v>
      </c>
      <c r="D13" s="20">
        <f>SUM(INDEX(tblQ[[Q1 24]:[Q4 24]],MATCH("PERSONNEL",tblQ[Code],0),0))+SUM(INDEX(tblQ[[Q1 24]:[Q4 24]],MATCH("OTHER_ADMIN",tblQ[Code],0),0))+SUM(INDEX(tblQ[[Q1 24]:[Q4 24]],MATCH("DA",tblQ[Code],0),0))</f>
        <v>-5278.9167360000001</v>
      </c>
      <c r="E13" s="20">
        <f>SUM(INDEX(tblQ[[Q1 25]:[Q4 25]],MATCH("PERSONNEL",tblQ[Code],0),0))+SUM(INDEX(tblQ[[Q1 25]:[Q4 25]],MATCH("OTHER_ADMIN",tblQ[Code],0),0))+SUM(INDEX(tblQ[[Q1 25]:[Q4 25]],MATCH("DA",tblQ[Code],0),0))</f>
        <v>-5582.879551</v>
      </c>
      <c r="F13" s="20">
        <f>SUM(INDEX(tblQ[[Q1 25]:[Q2 25]],MATCH("PERSONNEL",tblQ[Code],0),0))+SUM(INDEX(tblQ[[Q1 25]:[Q2 25]],MATCH("OTHER_ADMIN",tblQ[Code],0),0))+SUM(INDEX(tblQ[[Q1 25]:[Q2 25]],MATCH("DA",tblQ[Code],0),0))</f>
        <v>-2705.835732</v>
      </c>
      <c r="G13" s="20">
        <f>SUM(INDEX(tblQ[[Q3 25]:[Q4 25]],MATCH("PERSONNEL",tblQ[Code],0),0))+SUM(INDEX(tblQ[[Q3 25]:[Q4 25]],MATCH("OTHER_ADMIN",tblQ[Code],0),0))+SUM(INDEX(tblQ[[Q3 25]:[Q4 25]],MATCH("DA",tblQ[Code],0),0))</f>
        <v>-2877.0438189999995</v>
      </c>
      <c r="H13" s="20">
        <f>SUM(INDEX(tblQ[[Q1 26]:[Q2 26]],MATCH("PERSONNEL",tblQ[Code],0),0))+SUM(INDEX(tblQ[[Q1 26]:[Q2 26]],MATCH("OTHER_ADMIN",tblQ[Code],0),0))+SUM(INDEX(tblQ[[Q1 26]:[Q2 26]],MATCH("DA",tblQ[Code],0),0))</f>
        <v>-3537.0258789999998</v>
      </c>
      <c r="I13" s="20">
        <f>$H13*(1+Assumptions!$H$12)</f>
        <v>-3643.13665537</v>
      </c>
      <c r="J13" s="20">
        <f>$H13+I13</f>
        <v>-7180.1625343699998</v>
      </c>
      <c r="K13" s="20">
        <f>J13*(1+Assumptions!$H$23)</f>
        <v>-7323.7657850573996</v>
      </c>
      <c r="L13" s="2" t="s">
        <v>584</v>
      </c>
    </row>
    <row r="14" spans="1:12" x14ac:dyDescent="0.2">
      <c r="A14" s="25" t="s">
        <v>585</v>
      </c>
      <c r="B14" s="25" t="s">
        <v>219</v>
      </c>
      <c r="C14" s="26">
        <f t="shared" ref="C14:K14" si="1">C12+C13</f>
        <v>5532.008397999999</v>
      </c>
      <c r="D14" s="26">
        <f t="shared" si="1"/>
        <v>5899.5566160000008</v>
      </c>
      <c r="E14" s="26">
        <f t="shared" si="1"/>
        <v>6076.0121520000012</v>
      </c>
      <c r="F14" s="26">
        <f t="shared" si="1"/>
        <v>2962.5797459999999</v>
      </c>
      <c r="G14" s="26">
        <f t="shared" si="1"/>
        <v>3113.4324059999999</v>
      </c>
      <c r="H14" s="26">
        <f t="shared" si="1"/>
        <v>4421.7019370000016</v>
      </c>
      <c r="I14" s="26">
        <f t="shared" si="1"/>
        <v>4543.2053585700005</v>
      </c>
      <c r="J14" s="26">
        <f t="shared" si="1"/>
        <v>8964.9072955700012</v>
      </c>
      <c r="K14" s="26">
        <f t="shared" si="1"/>
        <v>9445.6616078414045</v>
      </c>
      <c r="L14" s="2" t="s">
        <v>586</v>
      </c>
    </row>
    <row r="15" spans="1:12" x14ac:dyDescent="0.2">
      <c r="A15" s="8" t="s">
        <v>196</v>
      </c>
      <c r="B15" s="8" t="s">
        <v>587</v>
      </c>
      <c r="C15" s="20">
        <f>SUM(INDEX(tblQ[[Q1 23]:[Q4 23]],MATCH("IMPAIRMENT",tblQ[Code],0),0))</f>
        <v>-127.83523400000001</v>
      </c>
      <c r="D15" s="20">
        <f>SUM(INDEX(tblQ[[Q1 24]:[Q4 24]],MATCH("IMPAIRMENT",tblQ[Code],0),0))</f>
        <v>-397.01089400000001</v>
      </c>
      <c r="E15" s="20">
        <f>SUM(INDEX(tblQ[[Q1 25]:[Q4 25]],MATCH("IMPAIRMENT",tblQ[Code],0),0))</f>
        <v>-477.71515999999997</v>
      </c>
      <c r="F15" s="20">
        <f>SUM(INDEX(tblQ[[Q1 25]:[Q2 25]],MATCH("IMPAIRMENT",tblQ[Code],0),0))</f>
        <v>-181.976921</v>
      </c>
      <c r="G15" s="20">
        <f>SUM(INDEX(tblQ[[Q3 25]:[Q4 25]],MATCH("IMPAIRMENT",tblQ[Code],0),0))</f>
        <v>-295.73823900000002</v>
      </c>
      <c r="H15" s="20">
        <f>SUM(INDEX(tblQ[[Q1 26]:[Q2 26]],MATCH("IMPAIRMENT",tblQ[Code],0),0))</f>
        <v>-582.87433899999996</v>
      </c>
      <c r="I15" s="20">
        <f>-Assumptions!$H$14/10000*I27/I29</f>
        <v>-393.64260302360708</v>
      </c>
      <c r="J15" s="20">
        <f>$H15+I15</f>
        <v>-976.51694202360704</v>
      </c>
      <c r="K15" s="20">
        <f>-Assumptions!$H$25/10000*K27/K29</f>
        <v>-822.887561670433</v>
      </c>
      <c r="L15" s="2" t="s">
        <v>588</v>
      </c>
    </row>
    <row r="16" spans="1:12" x14ac:dyDescent="0.2">
      <c r="A16" s="8" t="s">
        <v>198</v>
      </c>
      <c r="B16" s="8" t="s">
        <v>589</v>
      </c>
      <c r="C16" s="20">
        <f>SUM(INDEX(tblQ[[Q1 23]:[Q4 23]],MATCH("OTHER_OP_RESULT",tblQ[Code],0),0))</f>
        <v>-467.89284999999995</v>
      </c>
      <c r="D16" s="20">
        <f>SUM(INDEX(tblQ[[Q1 24]:[Q4 24]],MATCH("OTHER_OP_RESULT",tblQ[Code],0),0))</f>
        <v>-414.31411400000002</v>
      </c>
      <c r="E16" s="20">
        <f>SUM(INDEX(tblQ[[Q1 25]:[Q4 25]],MATCH("OTHER_OP_RESULT",tblQ[Code],0),0))</f>
        <v>-157.53832899999998</v>
      </c>
      <c r="F16" s="20">
        <f>SUM(INDEX(tblQ[[Q1 25]:[Q2 25]],MATCH("OTHER_OP_RESULT",tblQ[Code],0),0))</f>
        <v>-182.87764399999998</v>
      </c>
      <c r="G16" s="20">
        <f>SUM(INDEX(tblQ[[Q3 25]:[Q4 25]],MATCH("OTHER_OP_RESULT",tblQ[Code],0),0))</f>
        <v>25.339315000000003</v>
      </c>
      <c r="H16" s="20">
        <f>SUM(INDEX(tblQ[[Q1 26]:[Q2 26]],MATCH("OTHER_OP_RESULT",tblQ[Code],0),0))</f>
        <v>-329.77842199999998</v>
      </c>
      <c r="I16" s="20">
        <f>Assumptions!$H$15</f>
        <v>-300</v>
      </c>
      <c r="J16" s="20">
        <f>$H16+I16</f>
        <v>-629.77842199999998</v>
      </c>
      <c r="K16" s="20">
        <f>Assumptions!$H$26</f>
        <v>-720</v>
      </c>
      <c r="L16" s="2" t="s">
        <v>590</v>
      </c>
    </row>
    <row r="17" spans="1:12" x14ac:dyDescent="0.2">
      <c r="A17" s="8" t="s">
        <v>591</v>
      </c>
      <c r="B17" s="8" t="s">
        <v>592</v>
      </c>
      <c r="C17" s="20">
        <f>SUM(INDEX(tblQ[[Q1 23]:[Q4 23]],MATCH("DEREC_AC",tblQ[Code],0),0))+SUM(INDEX(tblQ[[Q1 23]:[Q4 23]],MATCH("DEREC_OTHER",tblQ[Code],0),0))</f>
        <v>-141.49855499999998</v>
      </c>
      <c r="D17" s="20">
        <f>SUM(INDEX(tblQ[[Q1 24]:[Q4 24]],MATCH("DEREC_AC",tblQ[Code],0),0))+SUM(INDEX(tblQ[[Q1 24]:[Q4 24]],MATCH("DEREC_OTHER",tblQ[Code],0),0))</f>
        <v>-90.959069999999997</v>
      </c>
      <c r="E17" s="20">
        <f>SUM(INDEX(tblQ[[Q1 25]:[Q4 25]],MATCH("DEREC_AC",tblQ[Code],0),0))+SUM(INDEX(tblQ[[Q1 25]:[Q4 25]],MATCH("DEREC_OTHER",tblQ[Code],0),0))</f>
        <v>-40.754528000000001</v>
      </c>
      <c r="F17" s="20">
        <f>SUM(INDEX(tblQ[[Q1 25]:[Q2 25]],MATCH("DEREC_AC",tblQ[Code],0),0))+SUM(INDEX(tblQ[[Q1 25]:[Q2 25]],MATCH("DEREC_OTHER",tblQ[Code],0),0))</f>
        <v>-14.870484000000001</v>
      </c>
      <c r="G17" s="20">
        <f>SUM(INDEX(tblQ[[Q3 25]:[Q4 25]],MATCH("DEREC_AC",tblQ[Code],0),0))+SUM(INDEX(tblQ[[Q3 25]:[Q4 25]],MATCH("DEREC_OTHER",tblQ[Code],0),0))</f>
        <v>-25.884044000000003</v>
      </c>
      <c r="H17" s="20">
        <f>SUM(INDEX(tblQ[[Q1 26]:[Q2 26]],MATCH("DEREC_AC",tblQ[Code],0),0))+SUM(INDEX(tblQ[[Q1 26]:[Q2 26]],MATCH("DEREC_OTHER",tblQ[Code],0),0))</f>
        <v>-3.6358959999999998</v>
      </c>
      <c r="I17" s="20">
        <f>Assumptions!$H$16</f>
        <v>-15</v>
      </c>
      <c r="J17" s="20">
        <f>$H17+I17</f>
        <v>-18.635895999999999</v>
      </c>
      <c r="K17" s="20">
        <f>Assumptions!$H$27</f>
        <v>-20</v>
      </c>
      <c r="L17" s="2" t="s">
        <v>593</v>
      </c>
    </row>
    <row r="18" spans="1:12" x14ac:dyDescent="0.2">
      <c r="A18" s="25" t="s">
        <v>202</v>
      </c>
      <c r="B18" s="25" t="s">
        <v>373</v>
      </c>
      <c r="C18" s="26">
        <f t="shared" ref="C18:K18" si="2">C14+C15+C16+C17</f>
        <v>4794.7817589999986</v>
      </c>
      <c r="D18" s="26">
        <f t="shared" si="2"/>
        <v>4997.2725380000011</v>
      </c>
      <c r="E18" s="26">
        <f t="shared" si="2"/>
        <v>5400.004135000001</v>
      </c>
      <c r="F18" s="26">
        <f t="shared" si="2"/>
        <v>2582.8546969999998</v>
      </c>
      <c r="G18" s="26">
        <f t="shared" si="2"/>
        <v>2817.1494379999999</v>
      </c>
      <c r="H18" s="26">
        <f t="shared" si="2"/>
        <v>3505.413280000002</v>
      </c>
      <c r="I18" s="26">
        <f t="shared" si="2"/>
        <v>3834.5627555463934</v>
      </c>
      <c r="J18" s="26">
        <f t="shared" si="2"/>
        <v>7339.9760355463941</v>
      </c>
      <c r="K18" s="26">
        <f t="shared" si="2"/>
        <v>7882.7740461709709</v>
      </c>
      <c r="L18" s="2" t="s">
        <v>594</v>
      </c>
    </row>
    <row r="19" spans="1:12" x14ac:dyDescent="0.2">
      <c r="A19" s="8" t="s">
        <v>204</v>
      </c>
      <c r="B19" s="8" t="s">
        <v>205</v>
      </c>
      <c r="C19" s="20">
        <f>SUM(INDEX(tblQ[[Q1 23]:[Q4 23]],MATCH("TAX",tblQ[Code],0),0))</f>
        <v>-874.14919799999996</v>
      </c>
      <c r="D19" s="20">
        <f>SUM(INDEX(tblQ[[Q1 24]:[Q4 24]],MATCH("TAX",tblQ[Code],0),0))</f>
        <v>-1052.540763</v>
      </c>
      <c r="E19" s="20">
        <f>SUM(INDEX(tblQ[[Q1 25]:[Q4 25]],MATCH("TAX",tblQ[Code],0),0))</f>
        <v>-1102.7797639999999</v>
      </c>
      <c r="F19" s="20">
        <f>SUM(INDEX(tblQ[[Q1 25]:[Q2 25]],MATCH("TAX",tblQ[Code],0),0))</f>
        <v>-529.48521299999993</v>
      </c>
      <c r="G19" s="20">
        <f>SUM(INDEX(tblQ[[Q3 25]:[Q4 25]],MATCH("TAX",tblQ[Code],0),0))</f>
        <v>-573.29455099999996</v>
      </c>
      <c r="H19" s="20">
        <f>SUM(INDEX(tblQ[[Q1 26]:[Q2 26]],MATCH("TAX",tblQ[Code],0),0))</f>
        <v>-841.29918700000007</v>
      </c>
      <c r="I19" s="20">
        <f>-MAX(I18,0)*Assumptions!$H$17</f>
        <v>-901.12224755340242</v>
      </c>
      <c r="J19" s="20">
        <f>$H19+I19</f>
        <v>-1742.4214345534024</v>
      </c>
      <c r="K19" s="20">
        <f>-MAX(K18,0)*Assumptions!$H$28</f>
        <v>-1852.4519008501782</v>
      </c>
      <c r="L19" s="2" t="s">
        <v>595</v>
      </c>
    </row>
    <row r="20" spans="1:12" x14ac:dyDescent="0.2">
      <c r="A20" s="25" t="s">
        <v>206</v>
      </c>
      <c r="B20" s="25" t="s">
        <v>207</v>
      </c>
      <c r="C20" s="26">
        <f t="shared" ref="C20:K20" si="3">C18+C19</f>
        <v>3920.6325609999985</v>
      </c>
      <c r="D20" s="26">
        <f t="shared" si="3"/>
        <v>3944.7317750000011</v>
      </c>
      <c r="E20" s="26">
        <f t="shared" si="3"/>
        <v>4297.2243710000012</v>
      </c>
      <c r="F20" s="26">
        <f t="shared" si="3"/>
        <v>2053.3694839999998</v>
      </c>
      <c r="G20" s="26">
        <f t="shared" si="3"/>
        <v>2243.854887</v>
      </c>
      <c r="H20" s="26">
        <f t="shared" si="3"/>
        <v>2664.114093000002</v>
      </c>
      <c r="I20" s="26">
        <f t="shared" si="3"/>
        <v>2933.4405079929911</v>
      </c>
      <c r="J20" s="26">
        <f t="shared" si="3"/>
        <v>5597.5546009929913</v>
      </c>
      <c r="K20" s="26">
        <f t="shared" si="3"/>
        <v>6030.3221453207925</v>
      </c>
      <c r="L20" s="2" t="s">
        <v>596</v>
      </c>
    </row>
    <row r="21" spans="1:12" x14ac:dyDescent="0.2">
      <c r="A21" s="8" t="s">
        <v>208</v>
      </c>
      <c r="B21" s="8" t="s">
        <v>597</v>
      </c>
      <c r="C21" s="20">
        <f>-SUM(INDEX(tblQ[[Q1 23]:[Q4 23]],MATCH("NCI",tblQ[Code],0),0))</f>
        <v>-923.05686900000001</v>
      </c>
      <c r="D21" s="20">
        <f>-SUM(INDEX(tblQ[[Q1 24]:[Q4 24]],MATCH("NCI",tblQ[Code],0),0))</f>
        <v>-819.43252200000006</v>
      </c>
      <c r="E21" s="20">
        <f>-SUM(INDEX(tblQ[[Q1 25]:[Q4 25]],MATCH("NCI",tblQ[Code],0),0))</f>
        <v>-787.67260499999998</v>
      </c>
      <c r="F21" s="20">
        <f>-SUM(INDEX(tblQ[[Q1 25]:[Q2 25]],MATCH("NCI",tblQ[Code],0),0))</f>
        <v>-388.70252600000003</v>
      </c>
      <c r="G21" s="20">
        <f>-SUM(INDEX(tblQ[[Q3 25]:[Q4 25]],MATCH("NCI",tblQ[Code],0),0))</f>
        <v>-398.970079</v>
      </c>
      <c r="H21" s="20">
        <f>-SUM(INDEX(tblQ[[Q1 26]:[Q2 26]],MATCH("NCI",tblQ[Code],0),0))</f>
        <v>-689.44710099999998</v>
      </c>
      <c r="I21" s="20">
        <f>-I20*Assumptions!$H$18</f>
        <v>-792.02893715810762</v>
      </c>
      <c r="J21" s="20">
        <f>$H21+I21</f>
        <v>-1481.4760381581077</v>
      </c>
      <c r="K21" s="20">
        <f>-K20*Assumptions!$H$29</f>
        <v>-1628.186979236614</v>
      </c>
      <c r="L21" s="2" t="s">
        <v>598</v>
      </c>
    </row>
    <row r="22" spans="1:12" x14ac:dyDescent="0.2">
      <c r="A22" s="25" t="s">
        <v>210</v>
      </c>
      <c r="B22" s="25" t="s">
        <v>599</v>
      </c>
      <c r="C22" s="26">
        <f t="shared" ref="C22:K22" si="4">C20+C21</f>
        <v>2997.5756919999985</v>
      </c>
      <c r="D22" s="26">
        <f t="shared" si="4"/>
        <v>3125.299253000001</v>
      </c>
      <c r="E22" s="26">
        <f t="shared" si="4"/>
        <v>3509.5517660000014</v>
      </c>
      <c r="F22" s="26">
        <f t="shared" si="4"/>
        <v>1664.6669579999998</v>
      </c>
      <c r="G22" s="26">
        <f t="shared" si="4"/>
        <v>1844.884808</v>
      </c>
      <c r="H22" s="26">
        <f t="shared" si="4"/>
        <v>1974.666992000002</v>
      </c>
      <c r="I22" s="26">
        <f t="shared" si="4"/>
        <v>2141.4115708348836</v>
      </c>
      <c r="J22" s="26">
        <f t="shared" si="4"/>
        <v>4116.078562834884</v>
      </c>
      <c r="K22" s="26">
        <f t="shared" si="4"/>
        <v>4402.1351660841783</v>
      </c>
      <c r="L22" s="2" t="s">
        <v>600</v>
      </c>
    </row>
    <row r="24" spans="1:12" x14ac:dyDescent="0.2">
      <c r="A24" s="4" t="s">
        <v>601</v>
      </c>
    </row>
    <row r="25" spans="1:12" x14ac:dyDescent="0.2">
      <c r="B25" s="8" t="s">
        <v>221</v>
      </c>
      <c r="C25" s="17">
        <f t="shared" ref="C25:K25" si="5">IF(C12&lt;=0,"n.m.",-C13/C12)</f>
        <v>0.4757191939881602</v>
      </c>
      <c r="D25" s="17">
        <f t="shared" si="5"/>
        <v>0.47223950621625094</v>
      </c>
      <c r="E25" s="17">
        <f t="shared" si="5"/>
        <v>0.47885165187386075</v>
      </c>
      <c r="F25" s="17">
        <f t="shared" si="5"/>
        <v>0.47735310555511823</v>
      </c>
      <c r="G25" s="17">
        <f t="shared" si="5"/>
        <v>0.48026963315424892</v>
      </c>
      <c r="H25" s="17">
        <f t="shared" si="5"/>
        <v>0.44442101310328302</v>
      </c>
      <c r="I25" s="17">
        <f t="shared" si="5"/>
        <v>0.44502619719116726</v>
      </c>
      <c r="J25" s="17">
        <f t="shared" si="5"/>
        <v>0.4447278711086679</v>
      </c>
      <c r="K25" s="17">
        <f t="shared" si="5"/>
        <v>0.43673320581946212</v>
      </c>
    </row>
    <row r="26" spans="1:12" x14ac:dyDescent="0.2">
      <c r="B26" s="8" t="s">
        <v>602</v>
      </c>
      <c r="C26" s="20">
        <f>INDEX(tblQ[Q4 23],MATCH("GROSS_LOANS",tblQ[Code],0))</f>
        <v>211896.52879899999</v>
      </c>
      <c r="D26" s="20">
        <f>INDEX(tblQ[Q4 24],MATCH("GROSS_LOANS",tblQ[Code],0))</f>
        <v>222184.197869</v>
      </c>
      <c r="E26" s="20">
        <f>INDEX(tblQ[Q4 25],MATCH("GROSS_LOANS",tblQ[Code],0))</f>
        <v>235983.18345400001</v>
      </c>
      <c r="F26" s="20">
        <f>INDEX(tblQ[Q2 25],MATCH("GROSS_LOANS",tblQ[Code],0))</f>
        <v>228195.51646799999</v>
      </c>
      <c r="G26" s="20">
        <f>INDEX(tblQ[Q4 25],MATCH("GROSS_LOANS",tblQ[Code],0))</f>
        <v>235983.18345400001</v>
      </c>
      <c r="H26" s="20">
        <f>INDEX(tblQ[Q2 26],MATCH("GROSS_LOANS",tblQ[Code],0))</f>
        <v>287277.94418799999</v>
      </c>
      <c r="I26" s="20">
        <f>$H26*(1+Assumptions!$H$13)</f>
        <v>295896.28251364001</v>
      </c>
      <c r="J26" s="20">
        <f>I26</f>
        <v>295896.28251364001</v>
      </c>
      <c r="K26" s="20">
        <f>J26*(1+Assumptions!$H$24)</f>
        <v>313650.05946445843</v>
      </c>
    </row>
    <row r="27" spans="1:12" x14ac:dyDescent="0.2">
      <c r="B27" s="8" t="s">
        <v>603</v>
      </c>
      <c r="C27" s="20" t="s">
        <v>147</v>
      </c>
      <c r="D27" s="20">
        <f>AVERAGE(INDEX(tblQ[[Q4 23]:[Q4 24]],MATCH("GROSS_LOANS",tblQ[Code],0),0))</f>
        <v>215859.52211319999</v>
      </c>
      <c r="E27" s="20">
        <f>AVERAGE(INDEX(tblQ[[Q4 24]:[Q4 25]],MATCH("GROSS_LOANS",tblQ[Code],0),0))</f>
        <v>228570.74378799996</v>
      </c>
      <c r="F27" s="20">
        <f>AVERAGE(INDEX(tblQ[[Q4 24]:[Q2 25]],MATCH("GROSS_LOANS",tblQ[Code],0),0))</f>
        <v>224888.85790533331</v>
      </c>
      <c r="G27" s="20">
        <f>AVERAGE(INDEX(tblQ[[Q2 25]:[Q4 25]],MATCH("GROSS_LOANS",tblQ[Code],0),0))</f>
        <v>232127.55389733333</v>
      </c>
      <c r="H27" s="20">
        <f>AVERAGE(INDEX(tblQ[[Q4 25]:[Q2 26]],MATCH("GROSS_LOANS",tblQ[Code],0),0))</f>
        <v>267785.90995433339</v>
      </c>
      <c r="I27" s="20">
        <f>AVERAGE($H26,I26)</f>
        <v>291587.11335082003</v>
      </c>
      <c r="J27" s="20">
        <f>AVERAGE($H27,I27)</f>
        <v>279686.51165257674</v>
      </c>
      <c r="K27" s="20">
        <f>AVERAGE(J26,K26)</f>
        <v>304773.17098904925</v>
      </c>
      <c r="L27" s="2" t="s">
        <v>604</v>
      </c>
    </row>
    <row r="28" spans="1:12" x14ac:dyDescent="0.2">
      <c r="B28" s="8" t="s">
        <v>605</v>
      </c>
      <c r="C28" s="23" t="str">
        <f t="shared" ref="C28:K28" si="6">IF(ISNUMBER(C27),-C15*C29/C27*10000,"n/a")</f>
        <v>n/a</v>
      </c>
      <c r="D28" s="23">
        <f t="shared" si="6"/>
        <v>18.392095475491764</v>
      </c>
      <c r="E28" s="23">
        <f t="shared" si="6"/>
        <v>20.900100865186936</v>
      </c>
      <c r="F28" s="23">
        <f t="shared" si="6"/>
        <v>16.183720500426301</v>
      </c>
      <c r="G28" s="23">
        <f t="shared" si="6"/>
        <v>25.480666472779081</v>
      </c>
      <c r="H28" s="23">
        <f t="shared" si="6"/>
        <v>43.532860940995732</v>
      </c>
      <c r="I28" s="23">
        <f t="shared" si="6"/>
        <v>27</v>
      </c>
      <c r="J28" s="23">
        <f t="shared" si="6"/>
        <v>34.914695608797352</v>
      </c>
      <c r="K28" s="23">
        <f t="shared" si="6"/>
        <v>27</v>
      </c>
    </row>
    <row r="29" spans="1:12" x14ac:dyDescent="0.2">
      <c r="B29" s="8" t="s">
        <v>606</v>
      </c>
      <c r="C29" s="27">
        <v>1</v>
      </c>
      <c r="D29" s="27">
        <v>1</v>
      </c>
      <c r="E29" s="27">
        <v>1</v>
      </c>
      <c r="F29" s="27">
        <v>2</v>
      </c>
      <c r="G29" s="27">
        <v>2</v>
      </c>
      <c r="H29" s="27">
        <v>2</v>
      </c>
      <c r="I29" s="27">
        <v>2</v>
      </c>
      <c r="J29" s="27">
        <v>1</v>
      </c>
      <c r="K29" s="27">
        <v>1</v>
      </c>
    </row>
    <row r="30" spans="1:12" x14ac:dyDescent="0.2">
      <c r="B30" s="8" t="s">
        <v>228</v>
      </c>
      <c r="C30" s="17">
        <f t="shared" ref="C30:K30" si="7">IF(C18&lt;=0,"n.m.",-C19/C18)</f>
        <v>0.18231261440819213</v>
      </c>
      <c r="D30" s="17">
        <f t="shared" si="7"/>
        <v>0.21062304587078731</v>
      </c>
      <c r="E30" s="17">
        <f t="shared" si="7"/>
        <v>0.20421831843652832</v>
      </c>
      <c r="F30" s="17">
        <f t="shared" si="7"/>
        <v>0.20500000004452437</v>
      </c>
      <c r="G30" s="17">
        <f t="shared" si="7"/>
        <v>0.20350164718524952</v>
      </c>
      <c r="H30" s="17">
        <f t="shared" si="7"/>
        <v>0.23999999994294527</v>
      </c>
      <c r="I30" s="17">
        <f t="shared" si="7"/>
        <v>0.23499999999999999</v>
      </c>
      <c r="J30" s="17">
        <f t="shared" si="7"/>
        <v>0.23738789147472947</v>
      </c>
      <c r="K30" s="17">
        <f t="shared" si="7"/>
        <v>0.23499999999999999</v>
      </c>
    </row>
    <row r="31" spans="1:12" x14ac:dyDescent="0.2">
      <c r="B31" s="8" t="s">
        <v>557</v>
      </c>
      <c r="C31" s="17">
        <f t="shared" ref="C31:K31" si="8">IF(C20&lt;=0,"n.m.",-C21/C20)</f>
        <v>0.23543569937718536</v>
      </c>
      <c r="D31" s="17">
        <f t="shared" si="8"/>
        <v>0.2077283244435548</v>
      </c>
      <c r="E31" s="17">
        <f t="shared" si="8"/>
        <v>0.18329799354104978</v>
      </c>
      <c r="F31" s="17">
        <f t="shared" si="8"/>
        <v>0.18929984546317533</v>
      </c>
      <c r="G31" s="17">
        <f t="shared" si="8"/>
        <v>0.17780565103005255</v>
      </c>
      <c r="H31" s="17">
        <f t="shared" si="8"/>
        <v>0.25879038094184187</v>
      </c>
      <c r="I31" s="17">
        <f t="shared" si="8"/>
        <v>0.27</v>
      </c>
      <c r="J31" s="17">
        <f t="shared" si="8"/>
        <v>0.26466486595687655</v>
      </c>
      <c r="K31" s="17">
        <f t="shared" si="8"/>
        <v>0.27</v>
      </c>
    </row>
    <row r="32" spans="1:12" x14ac:dyDescent="0.2">
      <c r="B32" s="8" t="s">
        <v>607</v>
      </c>
      <c r="C32" s="17" t="s">
        <v>147</v>
      </c>
      <c r="D32" s="17">
        <f>IF(C12=0,"n.m.",D12/C12-1)</f>
        <v>5.9408915772299231E-2</v>
      </c>
      <c r="E32" s="17">
        <f>IF(D12=0,"n.m.",E12/D12-1)</f>
        <v>4.297709856006815E-2</v>
      </c>
      <c r="F32" s="17" t="s">
        <v>147</v>
      </c>
      <c r="G32" s="17" t="s">
        <v>147</v>
      </c>
      <c r="H32" s="17">
        <f>IF(F12=0,"n.m.",H12/F12-1)</f>
        <v>0.40404807073318083</v>
      </c>
      <c r="I32" s="17">
        <f>IF(G12=0,"n.m.",I12/G12-1)</f>
        <v>0.36655946980909704</v>
      </c>
      <c r="J32" s="17">
        <f>IF(E12=0,"n.m.",J12/E12-1)</f>
        <v>0.38478598491361238</v>
      </c>
      <c r="K32" s="17">
        <f>IF(J12=0,"n.m.",K12/J12-1)</f>
        <v>3.8671716476628148E-2</v>
      </c>
      <c r="L32" s="2" t="s">
        <v>608</v>
      </c>
    </row>
    <row r="33" spans="1:12" x14ac:dyDescent="0.2">
      <c r="B33" s="8" t="s">
        <v>609</v>
      </c>
      <c r="C33" s="17" t="s">
        <v>147</v>
      </c>
      <c r="D33" s="17">
        <f>IF(C13=0,"n.m.",D13/C13-1)</f>
        <v>5.165978078625888E-2</v>
      </c>
      <c r="E33" s="17">
        <f>IF(D13=0,"n.m.",E13/D13-1)</f>
        <v>5.7580528392709995E-2</v>
      </c>
      <c r="F33" s="17" t="s">
        <v>147</v>
      </c>
      <c r="G33" s="17" t="s">
        <v>147</v>
      </c>
      <c r="H33" s="17">
        <f>IF(F13=0,"n.m.",H13/F13-1)</f>
        <v>0.30718425999409482</v>
      </c>
      <c r="I33" s="17">
        <f>IF(G13=0,"n.m.",I13/G13-1)</f>
        <v>0.26627777836080302</v>
      </c>
      <c r="J33" s="17">
        <f>IF(E13=0,"n.m.",J13/E13-1)</f>
        <v>0.2861037872622374</v>
      </c>
      <c r="K33" s="17">
        <f>IF(J13=0,"n.m.",K13/J13-1)</f>
        <v>2.0000000000000018E-2</v>
      </c>
    </row>
    <row r="34" spans="1:12" x14ac:dyDescent="0.2">
      <c r="B34" s="8" t="s">
        <v>610</v>
      </c>
      <c r="C34" s="23" t="s">
        <v>147</v>
      </c>
      <c r="D34" s="23">
        <f>IF(AND(ISNUMBER(D32),ISNUMBER(D33)),(D32-D33)*100,"n/a")</f>
        <v>0.77491349860403513</v>
      </c>
      <c r="E34" s="23">
        <f>IF(AND(ISNUMBER(E32),ISNUMBER(E33)),(E32-E33)*100,"n/a")</f>
        <v>-1.4603429832641845</v>
      </c>
      <c r="F34" s="23" t="s">
        <v>147</v>
      </c>
      <c r="G34" s="23" t="s">
        <v>147</v>
      </c>
      <c r="H34" s="23">
        <f>IF(AND(ISNUMBER(H32),ISNUMBER(H33)),(H32-H33)*100,"n/a")</f>
        <v>9.6863810739086009</v>
      </c>
      <c r="I34" s="23">
        <f>IF(AND(ISNUMBER(I32),ISNUMBER(I33)),(I32-I33)*100,"n/a")</f>
        <v>10.028169144829402</v>
      </c>
      <c r="J34" s="23">
        <f>IF(AND(ISNUMBER(J32),ISNUMBER(J33)),(J32-J33)*100,"n/a")</f>
        <v>9.8682197651374981</v>
      </c>
      <c r="K34" s="23">
        <f>IF(AND(ISNUMBER(K32),ISNUMBER(K33)),(K32-K33)*100,"n/a")</f>
        <v>1.8671716476628131</v>
      </c>
    </row>
    <row r="35" spans="1:12" x14ac:dyDescent="0.2">
      <c r="B35" s="8" t="s">
        <v>400</v>
      </c>
      <c r="C35" s="17">
        <f t="shared" ref="C35:K35" si="9">IF(C12&lt;=0,"n.m.",C8/C12)</f>
        <v>0.68500431952613394</v>
      </c>
      <c r="D35" s="17">
        <f t="shared" si="9"/>
        <v>0.67346102995835977</v>
      </c>
      <c r="E35" s="17">
        <f t="shared" si="9"/>
        <v>0.66802421339893969</v>
      </c>
      <c r="F35" s="17">
        <f t="shared" si="9"/>
        <v>0.66798424492623265</v>
      </c>
      <c r="G35" s="17">
        <f t="shared" si="9"/>
        <v>0.66806203308151857</v>
      </c>
      <c r="H35" s="17">
        <f t="shared" si="9"/>
        <v>0.67679179971091996</v>
      </c>
      <c r="I35" s="17">
        <f t="shared" si="9"/>
        <v>0.68429315332061058</v>
      </c>
      <c r="J35" s="17">
        <f t="shared" si="9"/>
        <v>0.68059535379047886</v>
      </c>
      <c r="K35" s="17">
        <f t="shared" si="9"/>
        <v>0.68146571887328866</v>
      </c>
    </row>
    <row r="36" spans="1:12" x14ac:dyDescent="0.2">
      <c r="B36" s="8" t="s">
        <v>611</v>
      </c>
      <c r="C36" s="17" t="s">
        <v>147</v>
      </c>
      <c r="D36" s="17">
        <f>IF(C22&lt;=0,"n.m.",D22/C22-1)</f>
        <v>4.2608952741668649E-2</v>
      </c>
      <c r="E36" s="17">
        <f>IF(D22&lt;=0,"n.m.",E22/D22-1)</f>
        <v>0.1229490304428138</v>
      </c>
      <c r="F36" s="17" t="s">
        <v>147</v>
      </c>
      <c r="G36" s="17" t="s">
        <v>147</v>
      </c>
      <c r="H36" s="17">
        <f>IF(F22&lt;=0,"n.m.",H22/F22-1)</f>
        <v>0.18622345599533574</v>
      </c>
      <c r="I36" s="17">
        <f>IF(G22&lt;=0,"n.m.",I22/G22-1)</f>
        <v>0.16072914772187974</v>
      </c>
      <c r="J36" s="17">
        <f>IF(E22&lt;=0,"n.m.",J22/E22-1)</f>
        <v>0.17282172689709863</v>
      </c>
      <c r="K36" s="17">
        <f>IF(J22&lt;=0,"n.m.",K22/J22-1)</f>
        <v>6.9497362327379131E-2</v>
      </c>
    </row>
    <row r="38" spans="1:12" x14ac:dyDescent="0.2">
      <c r="A38" s="4" t="s">
        <v>612</v>
      </c>
    </row>
    <row r="39" spans="1:12" x14ac:dyDescent="0.2">
      <c r="A39" s="8" t="s">
        <v>220</v>
      </c>
      <c r="B39" s="8" t="s">
        <v>613</v>
      </c>
      <c r="C39" s="17">
        <f>INDEX(tblRep[FY2023],MATCH("REP_CIR",tblRep[Code],0))</f>
        <v>0.47599999999999998</v>
      </c>
      <c r="D39" s="17">
        <f>INDEX(tblRep[FY2024],MATCH("REP_CIR",tblRep[Code],0))</f>
        <v>0.47199999999999998</v>
      </c>
      <c r="E39" s="17">
        <f>INDEX(tblRep[FY2025],MATCH("REP_CIR",tblRep[Code],0))</f>
        <v>0.47899999999999998</v>
      </c>
      <c r="F39" s="17">
        <f>INDEX(tblRep[H1 2025],MATCH("REP_CIR",tblRep[Code],0))</f>
        <v>0.47739999999999999</v>
      </c>
      <c r="G39" s="8" t="s">
        <v>147</v>
      </c>
      <c r="H39" s="17">
        <f>INDEX(tblRep[H1 2026],MATCH("REP_CIR",tblRep[Code],0))</f>
        <v>0.44440000000000002</v>
      </c>
      <c r="I39" s="8" t="s">
        <v>614</v>
      </c>
      <c r="J39" s="8" t="s">
        <v>614</v>
      </c>
      <c r="K39" s="8" t="s">
        <v>614</v>
      </c>
    </row>
    <row r="40" spans="1:12" x14ac:dyDescent="0.2">
      <c r="A40" s="8" t="s">
        <v>225</v>
      </c>
      <c r="B40" s="8" t="s">
        <v>615</v>
      </c>
      <c r="C40" s="28">
        <f>INDEX(tblRep[FY2023],MATCH("REP_PROV_RATIO",tblRep[Code],0))</f>
        <v>5.9999999999999995E-4</v>
      </c>
      <c r="D40" s="28">
        <f>INDEX(tblRep[FY2024],MATCH("REP_PROV_RATIO",tblRep[Code],0))</f>
        <v>1.8E-3</v>
      </c>
      <c r="E40" s="28">
        <f>INDEX(tblRep[FY2025],MATCH("REP_PROV_RATIO",tblRep[Code],0))</f>
        <v>2.0999999999999999E-3</v>
      </c>
      <c r="F40" s="28">
        <f>INDEX(tblRep[H1 2025],MATCH("REP_PROV_RATIO",tblRep[Code],0))</f>
        <v>1.6000000000000001E-3</v>
      </c>
      <c r="G40" s="8" t="s">
        <v>147</v>
      </c>
      <c r="H40" s="28">
        <f>INDEX(tblRep[H1 2026],MATCH("REP_PROV_RATIO",tblRep[Code],0))</f>
        <v>4.4000000000000003E-3</v>
      </c>
      <c r="I40" s="8" t="s">
        <v>614</v>
      </c>
      <c r="J40" s="8" t="s">
        <v>614</v>
      </c>
      <c r="K40" s="8" t="s">
        <v>614</v>
      </c>
    </row>
    <row r="41" spans="1:12" x14ac:dyDescent="0.2">
      <c r="A41" s="8" t="s">
        <v>229</v>
      </c>
      <c r="B41" s="8" t="s">
        <v>616</v>
      </c>
      <c r="C41" s="17">
        <f>INDEX(tblRep[FY2023],MATCH("REP_ROTE",tblRep[Code],0))</f>
        <v>0.17199999999999999</v>
      </c>
      <c r="D41" s="17">
        <f>INDEX(tblRep[FY2024],MATCH("REP_ROTE",tblRep[Code],0))</f>
        <v>0.16300000000000001</v>
      </c>
      <c r="E41" s="17">
        <f>INDEX(tblRep[FY2025],MATCH("REP_ROTE",tblRep[Code],0))</f>
        <v>0.16600000000000001</v>
      </c>
      <c r="F41" s="17">
        <f>INDEX(tblRep[H1 2025],MATCH("REP_ROTE",tblRep[Code],0))</f>
        <v>0.16300000000000001</v>
      </c>
      <c r="G41" s="8" t="s">
        <v>147</v>
      </c>
      <c r="H41" s="17">
        <f>INDEX(tblRep[H1 2026],MATCH("REP_ROTE",tblRep[Code],0))</f>
        <v>0.19600000000000001</v>
      </c>
      <c r="I41" s="8" t="s">
        <v>614</v>
      </c>
      <c r="J41" s="8" t="s">
        <v>614</v>
      </c>
      <c r="K41" s="8" t="s">
        <v>614</v>
      </c>
      <c r="L41" s="2" t="s">
        <v>617</v>
      </c>
    </row>
    <row r="42" spans="1:12" x14ac:dyDescent="0.2">
      <c r="A42" s="8" t="s">
        <v>231</v>
      </c>
      <c r="B42" s="8" t="s">
        <v>618</v>
      </c>
      <c r="C42" s="17">
        <f>INDEX(tblRep[FY2023],MATCH("REP_CET1",tblRep[Code],0))</f>
        <v>0.157</v>
      </c>
      <c r="D42" s="17">
        <f>INDEX(tblRep[FY2024],MATCH("REP_CET1",tblRep[Code],0))</f>
        <v>0.153</v>
      </c>
      <c r="E42" s="17">
        <f>INDEX(tblRep[FY2025],MATCH("REP_CET1",tblRep[Code],0))</f>
        <v>0.193</v>
      </c>
      <c r="F42" s="17">
        <f>INDEX(tblRep[H1 2025],MATCH("REP_CET1",tblRep[Code],0))</f>
        <v>0.17399999999999999</v>
      </c>
      <c r="G42" s="8" t="s">
        <v>147</v>
      </c>
      <c r="H42" s="17">
        <f>INDEX(tblRep[H1 2026],MATCH("REP_CET1",tblRep[Code],0))</f>
        <v>0.152</v>
      </c>
      <c r="I42" s="8" t="s">
        <v>614</v>
      </c>
      <c r="J42" s="8" t="s">
        <v>614</v>
      </c>
      <c r="K42" s="8" t="s">
        <v>614</v>
      </c>
    </row>
    <row r="43" spans="1:12" x14ac:dyDescent="0.2">
      <c r="A43" s="8" t="s">
        <v>223</v>
      </c>
      <c r="B43" s="8" t="s">
        <v>619</v>
      </c>
      <c r="C43" s="17">
        <f>INDEX(tblRep[FY2023],MATCH("REP_NIM",tblRep[Code],0))</f>
        <v>2.5000000000000001E-2</v>
      </c>
      <c r="D43" s="17">
        <f>INDEX(tblRep[FY2024],MATCH("REP_NIM",tblRep[Code],0))</f>
        <v>2.5000000000000001E-2</v>
      </c>
      <c r="E43" s="17">
        <f>INDEX(tblRep[FY2025],MATCH("REP_NIM",tblRep[Code],0))</f>
        <v>2.4E-2</v>
      </c>
      <c r="F43" s="17">
        <f>INDEX(tblRep[H1 2025],MATCH("REP_NIM",tblRep[Code],0))</f>
        <v>2.3E-2</v>
      </c>
      <c r="G43" s="8" t="s">
        <v>147</v>
      </c>
      <c r="H43" s="17">
        <f>INDEX(tblRep[H1 2026],MATCH("REP_NIM",tblRep[Code],0))</f>
        <v>2.5999999999999999E-2</v>
      </c>
      <c r="I43" s="8" t="s">
        <v>614</v>
      </c>
      <c r="J43" s="8" t="s">
        <v>614</v>
      </c>
      <c r="K43" s="8" t="s">
        <v>614</v>
      </c>
    </row>
    <row r="46" spans="1:12" x14ac:dyDescent="0.2">
      <c r="A46" s="4" t="s">
        <v>620</v>
      </c>
    </row>
    <row r="47" spans="1:12" ht="30" x14ac:dyDescent="0.2">
      <c r="A47" s="7" t="s">
        <v>153</v>
      </c>
      <c r="B47" s="7" t="s">
        <v>154</v>
      </c>
      <c r="C47" s="7" t="s">
        <v>621</v>
      </c>
      <c r="D47" s="7" t="s">
        <v>622</v>
      </c>
      <c r="E47" s="7" t="s">
        <v>623</v>
      </c>
      <c r="F47" s="7" t="s">
        <v>624</v>
      </c>
      <c r="G47" s="7" t="s">
        <v>262</v>
      </c>
      <c r="H47" s="7" t="s">
        <v>625</v>
      </c>
      <c r="I47" s="7" t="s">
        <v>626</v>
      </c>
      <c r="J47" s="7" t="s">
        <v>627</v>
      </c>
    </row>
    <row r="48" spans="1:12" x14ac:dyDescent="0.2">
      <c r="A48" s="8" t="s">
        <v>170</v>
      </c>
      <c r="B48" s="8" t="s">
        <v>171</v>
      </c>
      <c r="C48" s="20">
        <f>SUM(INDEX(tblQ[[Q1 23]:[Q2 23]],MATCH("NII",tblQ[Code],0),0))</f>
        <v>3561.1093879999999</v>
      </c>
      <c r="D48" s="20">
        <f>SUM(INDEX(tblQ[[Q3 23]:[Q4 23]],MATCH("NII",tblQ[Code],0),0))</f>
        <v>3666.7913950000002</v>
      </c>
      <c r="E48" s="20">
        <f>SUM(INDEX(tblQ[[Q1 24]:[Q2 24]],MATCH("NII",tblQ[Code],0),0))</f>
        <v>3687.450949</v>
      </c>
      <c r="F48" s="20">
        <f>SUM(INDEX(tblQ[[Q3 24]:[Q4 24]],MATCH("NII",tblQ[Code],0),0))</f>
        <v>3840.8152279999999</v>
      </c>
      <c r="G48" s="20">
        <f>SUM(INDEX(tblQ[[Q1 25]:[Q2 25]],MATCH("NII",tblQ[Code],0),0))</f>
        <v>3786.412233</v>
      </c>
      <c r="H48" s="20">
        <f>SUM(INDEX(tblQ[[Q3 25]:[Q4 25]],MATCH("NII",tblQ[Code],0),0))</f>
        <v>4002.0097260000002</v>
      </c>
      <c r="I48" s="17">
        <f t="shared" ref="I48:I53" si="10">IF(MIN(C48*D48,E48*F48,G48*H48)&lt;=0,"n.m.",AVERAGE(D48/C48,F48/E48,H48/G48)-1)</f>
        <v>4.2735786246084873E-2</v>
      </c>
      <c r="J48" s="17">
        <f t="shared" ref="J48:J53" si="11">IF(MIN(C48*D48,E48*F48,G48*H48)&lt;=0,"n.m.",AVERAGE(C48/(C48+D48),E48/(E48+F48),G48/(G48+H48)))</f>
        <v>0.48955416934004914</v>
      </c>
      <c r="L48" s="2" t="s">
        <v>628</v>
      </c>
    </row>
    <row r="49" spans="1:10" x14ac:dyDescent="0.2">
      <c r="A49" s="8" t="s">
        <v>174</v>
      </c>
      <c r="B49" s="8" t="s">
        <v>175</v>
      </c>
      <c r="C49" s="20">
        <f>SUM(INDEX(tblQ[[Q1 23]:[Q2 23]],MATCH("NFCI",tblQ[Code],0),0))</f>
        <v>1274.658455</v>
      </c>
      <c r="D49" s="20">
        <f>SUM(INDEX(tblQ[[Q3 23]:[Q4 23]],MATCH("NFCI",tblQ[Code],0),0))</f>
        <v>1364.9321909999999</v>
      </c>
      <c r="E49" s="20">
        <f>SUM(INDEX(tblQ[[Q1 24]:[Q2 24]],MATCH("NFCI",tblQ[Code],0),0))</f>
        <v>1422.8858749999999</v>
      </c>
      <c r="F49" s="20">
        <f>SUM(INDEX(tblQ[[Q3 24]:[Q4 24]],MATCH("NFCI",tblQ[Code],0),0))</f>
        <v>1514.7013059999999</v>
      </c>
      <c r="G49" s="20">
        <f>SUM(INDEX(tblQ[[Q1 25]:[Q2 25]],MATCH("NFCI",tblQ[Code],0),0))</f>
        <v>1541.6659999999999</v>
      </c>
      <c r="H49" s="20">
        <f>SUM(INDEX(tblQ[[Q3 25]:[Q4 25]],MATCH("NFCI",tblQ[Code],0),0))</f>
        <v>1648.862711</v>
      </c>
      <c r="I49" s="17">
        <f t="shared" si="10"/>
        <v>6.8294182666620573E-2</v>
      </c>
      <c r="J49" s="17">
        <f t="shared" si="11"/>
        <v>0.48349104911637147</v>
      </c>
    </row>
    <row r="50" spans="1:10" x14ac:dyDescent="0.2">
      <c r="A50" s="8" t="s">
        <v>577</v>
      </c>
      <c r="B50" s="8" t="s">
        <v>533</v>
      </c>
      <c r="C50" s="20">
        <f>SUM(INDEX(tblQ[[Q1 23]:[Q2 23]],MATCH("TRADING",tblQ[Code],0),0))+SUM(INDEX(tblQ[[Q1 23]:[Q2 23]],MATCH("FVPL",tblQ[Code],0),0))</f>
        <v>206.59774599999997</v>
      </c>
      <c r="D50" s="20">
        <f>SUM(INDEX(tblQ[[Q3 23]:[Q4 23]],MATCH("TRADING",tblQ[Code],0),0))+SUM(INDEX(tblQ[[Q3 23]:[Q4 23]],MATCH("FVPL",tblQ[Code],0),0))</f>
        <v>241.96272299999998</v>
      </c>
      <c r="E50" s="20">
        <f>SUM(INDEX(tblQ[[Q1 24]:[Q2 24]],MATCH("TRADING",tblQ[Code],0),0))+SUM(INDEX(tblQ[[Q1 24]:[Q2 24]],MATCH("FVPL",tblQ[Code],0),0))</f>
        <v>248.23360700000001</v>
      </c>
      <c r="F50" s="20">
        <f>SUM(INDEX(tblQ[[Q3 24]:[Q4 24]],MATCH("TRADING",tblQ[Code],0),0))+SUM(INDEX(tblQ[[Q3 24]:[Q4 24]],MATCH("FVPL",tblQ[Code],0),0))</f>
        <v>188.89404999999996</v>
      </c>
      <c r="G50" s="20">
        <f>SUM(INDEX(tblQ[[Q1 25]:[Q2 25]],MATCH("TRADING",tblQ[Code],0),0))+SUM(INDEX(tblQ[[Q1 25]:[Q2 25]],MATCH("FVPL",tblQ[Code],0),0))</f>
        <v>200.30186900000001</v>
      </c>
      <c r="H50" s="20">
        <f>SUM(INDEX(tblQ[[Q3 25]:[Q4 25]],MATCH("TRADING",tblQ[Code],0),0))+SUM(INDEX(tblQ[[Q3 25]:[Q4 25]],MATCH("FVPL",tblQ[Code],0),0))</f>
        <v>219.10444200000001</v>
      </c>
      <c r="I50" s="17">
        <f t="shared" si="10"/>
        <v>8.6672965498648669E-3</v>
      </c>
      <c r="J50" s="17">
        <f t="shared" si="11"/>
        <v>0.50201272595230362</v>
      </c>
    </row>
    <row r="51" spans="1:10" x14ac:dyDescent="0.2">
      <c r="A51" s="8" t="s">
        <v>579</v>
      </c>
      <c r="B51" s="8" t="s">
        <v>580</v>
      </c>
      <c r="C51" s="20">
        <f>SUM(INDEX(tblQ[[Q1 23]:[Q2 23]],MATCH("DIV",tblQ[Code],0),0))+SUM(INDEX(tblQ[[Q1 23]:[Q2 23]],MATCH("EQUITY_METHOD",tblQ[Code],0),0))+SUM(INDEX(tblQ[[Q1 23]:[Q2 23]],MATCH("RENTAL",tblQ[Code],0),0))</f>
        <v>118.768446</v>
      </c>
      <c r="D51" s="20">
        <f>SUM(INDEX(tblQ[[Q3 23]:[Q4 23]],MATCH("DIV",tblQ[Code],0),0))+SUM(INDEX(tblQ[[Q3 23]:[Q4 23]],MATCH("EQUITY_METHOD",tblQ[Code],0),0))+SUM(INDEX(tblQ[[Q3 23]:[Q4 23]],MATCH("RENTAL",tblQ[Code],0),0))</f>
        <v>116.793094</v>
      </c>
      <c r="E51" s="20">
        <f>SUM(INDEX(tblQ[[Q1 24]:[Q2 24]],MATCH("DIV",tblQ[Code],0),0))+SUM(INDEX(tblQ[[Q1 24]:[Q2 24]],MATCH("EQUITY_METHOD",tblQ[Code],0),0))+SUM(INDEX(tblQ[[Q1 24]:[Q2 24]],MATCH("RENTAL",tblQ[Code],0),0))</f>
        <v>162.99014199999999</v>
      </c>
      <c r="F51" s="20">
        <f>SUM(INDEX(tblQ[[Q3 24]:[Q4 24]],MATCH("DIV",tblQ[Code],0),0))+SUM(INDEX(tblQ[[Q3 24]:[Q4 24]],MATCH("EQUITY_METHOD",tblQ[Code],0),0))+SUM(INDEX(tblQ[[Q3 24]:[Q4 24]],MATCH("RENTAL",tblQ[Code],0),0))</f>
        <v>112.502195</v>
      </c>
      <c r="G51" s="20">
        <f>SUM(INDEX(tblQ[[Q1 25]:[Q2 25]],MATCH("DIV",tblQ[Code],0),0))+SUM(INDEX(tblQ[[Q1 25]:[Q2 25]],MATCH("EQUITY_METHOD",tblQ[Code],0),0))+SUM(INDEX(tblQ[[Q1 25]:[Q2 25]],MATCH("RENTAL",tblQ[Code],0),0))</f>
        <v>140.03537599999999</v>
      </c>
      <c r="H51" s="20">
        <f>SUM(INDEX(tblQ[[Q3 25]:[Q4 25]],MATCH("DIV",tblQ[Code],0),0))+SUM(INDEX(tblQ[[Q3 25]:[Q4 25]],MATCH("EQUITY_METHOD",tblQ[Code],0),0))+SUM(INDEX(tblQ[[Q3 25]:[Q4 25]],MATCH("RENTAL",tblQ[Code],0),0))</f>
        <v>120.499346</v>
      </c>
      <c r="I51" s="17">
        <f t="shared" si="10"/>
        <v>-0.15530017314691158</v>
      </c>
      <c r="J51" s="17">
        <f t="shared" si="11"/>
        <v>0.54443908514034556</v>
      </c>
    </row>
    <row r="52" spans="1:10" x14ac:dyDescent="0.2">
      <c r="A52" s="8" t="s">
        <v>277</v>
      </c>
      <c r="B52" s="8" t="s">
        <v>217</v>
      </c>
      <c r="C52" s="20">
        <f>SUM(INDEX(tblQ[[Q1 23]:[Q2 23]],MATCH("PERSONNEL",tblQ[Code],0),0))+SUM(INDEX(tblQ[[Q1 23]:[Q2 23]],MATCH("OTHER_ADMIN",tblQ[Code],0),0))+SUM(INDEX(tblQ[[Q1 23]:[Q2 23]],MATCH("DA",tblQ[Code],0),0))</f>
        <v>-2472.207555</v>
      </c>
      <c r="D52" s="20">
        <f>SUM(INDEX(tblQ[[Q3 23]:[Q4 23]],MATCH("PERSONNEL",tblQ[Code],0),0))+SUM(INDEX(tblQ[[Q3 23]:[Q4 23]],MATCH("OTHER_ADMIN",tblQ[Code],0),0))+SUM(INDEX(tblQ[[Q3 23]:[Q4 23]],MATCH("DA",tblQ[Code],0),0))</f>
        <v>-2547.3974850000004</v>
      </c>
      <c r="E52" s="20">
        <f>SUM(INDEX(tblQ[[Q1 24]:[Q2 24]],MATCH("PERSONNEL",tblQ[Code],0),0))+SUM(INDEX(tblQ[[Q1 24]:[Q2 24]],MATCH("OTHER_ADMIN",tblQ[Code],0),0))+SUM(INDEX(tblQ[[Q1 24]:[Q2 24]],MATCH("DA",tblQ[Code],0),0))</f>
        <v>-2547.7917820000002</v>
      </c>
      <c r="F52" s="20">
        <f>SUM(INDEX(tblQ[[Q3 24]:[Q4 24]],MATCH("PERSONNEL",tblQ[Code],0),0))+SUM(INDEX(tblQ[[Q3 24]:[Q4 24]],MATCH("OTHER_ADMIN",tblQ[Code],0),0))+SUM(INDEX(tblQ[[Q3 24]:[Q4 24]],MATCH("DA",tblQ[Code],0),0))</f>
        <v>-2731.1249539999999</v>
      </c>
      <c r="G52" s="20">
        <f>SUM(INDEX(tblQ[[Q1 25]:[Q2 25]],MATCH("PERSONNEL",tblQ[Code],0),0))+SUM(INDEX(tblQ[[Q1 25]:[Q2 25]],MATCH("OTHER_ADMIN",tblQ[Code],0),0))+SUM(INDEX(tblQ[[Q1 25]:[Q2 25]],MATCH("DA",tblQ[Code],0),0))</f>
        <v>-2705.835732</v>
      </c>
      <c r="H52" s="20">
        <f>SUM(INDEX(tblQ[[Q3 25]:[Q4 25]],MATCH("PERSONNEL",tblQ[Code],0),0))+SUM(INDEX(tblQ[[Q3 25]:[Q4 25]],MATCH("OTHER_ADMIN",tblQ[Code],0),0))+SUM(INDEX(tblQ[[Q3 25]:[Q4 25]],MATCH("DA",tblQ[Code],0),0))</f>
        <v>-2877.0438189999995</v>
      </c>
      <c r="I52" s="17">
        <f t="shared" si="10"/>
        <v>5.5215134458231896E-2</v>
      </c>
      <c r="J52" s="17">
        <f t="shared" si="11"/>
        <v>0.48660413391832558</v>
      </c>
    </row>
    <row r="53" spans="1:10" x14ac:dyDescent="0.2">
      <c r="A53" s="8" t="s">
        <v>198</v>
      </c>
      <c r="B53" s="8" t="s">
        <v>589</v>
      </c>
      <c r="C53" s="20">
        <f>SUM(INDEX(tblQ[[Q1 23]:[Q2 23]],MATCH("OTHER_OP_RESULT",tblQ[Code],0),0))</f>
        <v>-283.09885299999996</v>
      </c>
      <c r="D53" s="20">
        <f>SUM(INDEX(tblQ[[Q3 23]:[Q4 23]],MATCH("OTHER_OP_RESULT",tblQ[Code],0),0))</f>
        <v>-184.79399699999999</v>
      </c>
      <c r="E53" s="20">
        <f>SUM(INDEX(tblQ[[Q1 24]:[Q2 24]],MATCH("OTHER_OP_RESULT",tblQ[Code],0),0))</f>
        <v>-254.28281000000001</v>
      </c>
      <c r="F53" s="20">
        <f>SUM(INDEX(tblQ[[Q3 24]:[Q4 24]],MATCH("OTHER_OP_RESULT",tblQ[Code],0),0))</f>
        <v>-160.03130400000001</v>
      </c>
      <c r="G53" s="20">
        <f>SUM(INDEX(tblQ[[Q1 25]:[Q2 25]],MATCH("OTHER_OP_RESULT",tblQ[Code],0),0))</f>
        <v>-182.87764399999998</v>
      </c>
      <c r="H53" s="20">
        <f>SUM(INDEX(tblQ[[Q3 25]:[Q4 25]],MATCH("OTHER_OP_RESULT",tblQ[Code],0),0))</f>
        <v>25.339315000000003</v>
      </c>
      <c r="I53" s="17" t="str">
        <f t="shared" si="10"/>
        <v>n.m.</v>
      </c>
      <c r="J53" s="17" t="str">
        <f t="shared" si="11"/>
        <v>n.m.</v>
      </c>
    </row>
  </sheetData>
  <pageMargins left="0.75" right="0.75" top="1" bottom="1" header="0.5" footer="0.5"/>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72"/>
  <sheetViews>
    <sheetView showGridLines="0" workbookViewId="0">
      <pane xSplit="2" ySplit="6" topLeftCell="C7" activePane="bottomRight" state="frozen"/>
      <selection pane="topRight"/>
      <selection pane="bottomLeft"/>
      <selection pane="bottomRight"/>
    </sheetView>
  </sheetViews>
  <sheetFormatPr baseColWidth="10" defaultColWidth="8.83203125" defaultRowHeight="15" x14ac:dyDescent="0.2"/>
  <cols>
    <col min="1" max="1" width="17" customWidth="1"/>
    <col min="2" max="2" width="60" customWidth="1"/>
    <col min="3" max="11" width="13" customWidth="1"/>
  </cols>
  <sheetData>
    <row r="1" spans="1:11" ht="19" x14ac:dyDescent="0.25">
      <c r="A1" s="1" t="s">
        <v>629</v>
      </c>
    </row>
    <row r="2" spans="1:11" x14ac:dyDescent="0.2">
      <c r="A2" s="2" t="s">
        <v>630</v>
      </c>
    </row>
    <row r="3" spans="1:11" x14ac:dyDescent="0.2">
      <c r="A3" s="3" t="s">
        <v>631</v>
      </c>
    </row>
    <row r="5" spans="1:11" x14ac:dyDescent="0.2">
      <c r="C5" s="43" t="s">
        <v>433</v>
      </c>
      <c r="D5" s="44"/>
      <c r="E5" s="44"/>
      <c r="F5" s="43" t="s">
        <v>438</v>
      </c>
      <c r="G5" s="44"/>
      <c r="H5" s="44"/>
      <c r="I5" s="43" t="s">
        <v>439</v>
      </c>
      <c r="J5" s="44"/>
      <c r="K5" s="44"/>
    </row>
    <row r="6" spans="1:11" x14ac:dyDescent="0.2">
      <c r="A6" s="7" t="s">
        <v>153</v>
      </c>
      <c r="B6" s="7" t="s">
        <v>154</v>
      </c>
      <c r="C6" s="24" t="s">
        <v>446</v>
      </c>
      <c r="D6" s="24" t="s">
        <v>572</v>
      </c>
      <c r="E6" s="24" t="s">
        <v>488</v>
      </c>
      <c r="F6" s="24" t="s">
        <v>446</v>
      </c>
      <c r="G6" s="24" t="s">
        <v>572</v>
      </c>
      <c r="H6" s="24" t="s">
        <v>488</v>
      </c>
      <c r="I6" s="24" t="s">
        <v>446</v>
      </c>
      <c r="J6" s="24" t="s">
        <v>572</v>
      </c>
      <c r="K6" s="24" t="s">
        <v>488</v>
      </c>
    </row>
    <row r="8" spans="1:11" x14ac:dyDescent="0.2">
      <c r="A8" s="8" t="s">
        <v>170</v>
      </c>
      <c r="B8" s="8" t="s">
        <v>171</v>
      </c>
      <c r="C8" s="20">
        <f>Forecast!$H$8*(1+Assumptions!$E$8)</f>
        <v>5601.8577908800007</v>
      </c>
      <c r="D8" s="20">
        <f>Forecast!$H$8+C8</f>
        <v>10988.259512880002</v>
      </c>
      <c r="E8" s="20">
        <f>D8*(1+Assumptions!$E$19)</f>
        <v>11427.789893395202</v>
      </c>
      <c r="F8" s="20">
        <f>Forecast!$H$8*(1+Assumptions!$F$8)</f>
        <v>5682.6538167099998</v>
      </c>
      <c r="G8" s="20">
        <f>Forecast!$H$8+F8</f>
        <v>11069.055538709999</v>
      </c>
      <c r="H8" s="20">
        <f>G8*(1+Assumptions!$F$19)</f>
        <v>11733.1988710326</v>
      </c>
      <c r="I8" s="20">
        <f>Forecast!$H$8*(1+Assumptions!$G$8)</f>
        <v>5440.2657392200008</v>
      </c>
      <c r="J8" s="20">
        <f>Forecast!$H$8+I8</f>
        <v>10826.66746122</v>
      </c>
      <c r="K8" s="20">
        <f>J8*(1+Assumptions!$G$19)</f>
        <v>10610.1341119956</v>
      </c>
    </row>
    <row r="9" spans="1:11" x14ac:dyDescent="0.2">
      <c r="A9" s="8" t="s">
        <v>174</v>
      </c>
      <c r="B9" s="8" t="s">
        <v>175</v>
      </c>
      <c r="C9" s="20">
        <f>Forecast!$H$9*(1+Assumptions!$E$9)</f>
        <v>2044.4842230600002</v>
      </c>
      <c r="D9" s="20">
        <f>Forecast!$H$9+C9</f>
        <v>3973.2429240600004</v>
      </c>
      <c r="E9" s="20">
        <f>D9*(1+Assumptions!$E$20)</f>
        <v>4211.6374995036003</v>
      </c>
      <c r="F9" s="20">
        <f>Forecast!$H$9*(1+Assumptions!$F$9)</f>
        <v>2073.4156035750002</v>
      </c>
      <c r="G9" s="20">
        <f>Forecast!$H$9+F9</f>
        <v>4002.1743045750004</v>
      </c>
      <c r="H9" s="20">
        <f>G9*(1+Assumptions!$F$20)</f>
        <v>4322.3482489410007</v>
      </c>
      <c r="I9" s="20">
        <f>Forecast!$H$9*(1+Assumptions!$G$9)</f>
        <v>1967.3338750200003</v>
      </c>
      <c r="J9" s="20">
        <f>Forecast!$H$9+I9</f>
        <v>3896.0925760200007</v>
      </c>
      <c r="K9" s="20">
        <f>J9*(1+Assumptions!$G$20)</f>
        <v>3974.0144275404009</v>
      </c>
    </row>
    <row r="10" spans="1:11" x14ac:dyDescent="0.2">
      <c r="A10" s="8" t="s">
        <v>577</v>
      </c>
      <c r="B10" s="8" t="s">
        <v>533</v>
      </c>
      <c r="C10" s="20">
        <f>Assumptions!$E$10</f>
        <v>400</v>
      </c>
      <c r="D10" s="20">
        <f>Forecast!$H$10+C10</f>
        <v>863.1427470000001</v>
      </c>
      <c r="E10" s="20">
        <f>Assumptions!$E$21</f>
        <v>800</v>
      </c>
      <c r="F10" s="20">
        <f>Assumptions!$F$10</f>
        <v>450</v>
      </c>
      <c r="G10" s="20">
        <f>Forecast!$H$10+F10</f>
        <v>913.1427470000001</v>
      </c>
      <c r="H10" s="20">
        <f>Assumptions!$F$21</f>
        <v>900</v>
      </c>
      <c r="I10" s="20">
        <f>Assumptions!$G$10</f>
        <v>250</v>
      </c>
      <c r="J10" s="20">
        <f>Forecast!$H$10+I10</f>
        <v>713.1427470000001</v>
      </c>
      <c r="K10" s="20">
        <f>Assumptions!$G$21</f>
        <v>500</v>
      </c>
    </row>
    <row r="11" spans="1:11" x14ac:dyDescent="0.2">
      <c r="A11" s="8" t="s">
        <v>579</v>
      </c>
      <c r="B11" s="8" t="s">
        <v>580</v>
      </c>
      <c r="C11" s="20">
        <f>Assumptions!$E$11</f>
        <v>140</v>
      </c>
      <c r="D11" s="20">
        <f>Forecast!$H$11+C11</f>
        <v>320.424646</v>
      </c>
      <c r="E11" s="20">
        <f>Assumptions!$E$22</f>
        <v>330</v>
      </c>
      <c r="F11" s="20">
        <f>Assumptions!$F$11</f>
        <v>150</v>
      </c>
      <c r="G11" s="20">
        <f>Forecast!$H$11+F11</f>
        <v>330.424646</v>
      </c>
      <c r="H11" s="20">
        <f>Assumptions!$F$22</f>
        <v>345</v>
      </c>
      <c r="I11" s="20">
        <f>Assumptions!$G$11</f>
        <v>130</v>
      </c>
      <c r="J11" s="20">
        <f>Forecast!$H$11+I11</f>
        <v>310.424646</v>
      </c>
      <c r="K11" s="20">
        <f>Assumptions!$G$22</f>
        <v>310</v>
      </c>
    </row>
    <row r="12" spans="1:11" x14ac:dyDescent="0.2">
      <c r="A12" s="4" t="s">
        <v>582</v>
      </c>
      <c r="B12" s="4" t="s">
        <v>215</v>
      </c>
      <c r="C12" s="26">
        <f t="shared" ref="C12:K12" si="0">SUM(C8:C11)</f>
        <v>8186.3420139400005</v>
      </c>
      <c r="D12" s="26">
        <f t="shared" si="0"/>
        <v>16145.069829940001</v>
      </c>
      <c r="E12" s="26">
        <f t="shared" si="0"/>
        <v>16769.427392898804</v>
      </c>
      <c r="F12" s="26">
        <f t="shared" si="0"/>
        <v>8356.0694202849991</v>
      </c>
      <c r="G12" s="26">
        <f t="shared" si="0"/>
        <v>16314.797236285</v>
      </c>
      <c r="H12" s="26">
        <f t="shared" si="0"/>
        <v>17300.547119973602</v>
      </c>
      <c r="I12" s="26">
        <f t="shared" si="0"/>
        <v>7787.5996142400008</v>
      </c>
      <c r="J12" s="26">
        <f t="shared" si="0"/>
        <v>15746.32743024</v>
      </c>
      <c r="K12" s="26">
        <f t="shared" si="0"/>
        <v>15394.148539536</v>
      </c>
    </row>
    <row r="13" spans="1:11" x14ac:dyDescent="0.2">
      <c r="A13" s="8" t="s">
        <v>277</v>
      </c>
      <c r="B13" s="8" t="s">
        <v>217</v>
      </c>
      <c r="C13" s="20">
        <f>Forecast!$H$13*(1+Assumptions!$E$12)</f>
        <v>-3643.13665537</v>
      </c>
      <c r="D13" s="20">
        <f>Forecast!$H$13+C13</f>
        <v>-7180.1625343699998</v>
      </c>
      <c r="E13" s="20">
        <f>D13*(1+Assumptions!$E$23)</f>
        <v>-7323.7657850573996</v>
      </c>
      <c r="F13" s="20">
        <f>Forecast!$H$13*(1+Assumptions!$F$12)</f>
        <v>-3590.0812671849994</v>
      </c>
      <c r="G13" s="20">
        <f>Forecast!$H$13+F13</f>
        <v>-7127.1071461849988</v>
      </c>
      <c r="H13" s="20">
        <f>G13*(1+Assumptions!$F$23)</f>
        <v>-7198.3782176468485</v>
      </c>
      <c r="I13" s="20">
        <f>Forecast!$H$13*(1+Assumptions!$G$12)</f>
        <v>-3713.8771729499999</v>
      </c>
      <c r="J13" s="20">
        <f>Forecast!$H$13+I13</f>
        <v>-7250.9030519499993</v>
      </c>
      <c r="K13" s="20">
        <f>J13*(1+Assumptions!$G$23)</f>
        <v>-7540.9391740279998</v>
      </c>
    </row>
    <row r="14" spans="1:11" x14ac:dyDescent="0.2">
      <c r="A14" s="4" t="s">
        <v>585</v>
      </c>
      <c r="B14" s="4" t="s">
        <v>219</v>
      </c>
      <c r="C14" s="26">
        <f t="shared" ref="C14:K14" si="1">C12+C13</f>
        <v>4543.2053585700005</v>
      </c>
      <c r="D14" s="26">
        <f t="shared" si="1"/>
        <v>8964.9072955700012</v>
      </c>
      <c r="E14" s="26">
        <f t="shared" si="1"/>
        <v>9445.6616078414045</v>
      </c>
      <c r="F14" s="26">
        <f t="shared" si="1"/>
        <v>4765.9881530999992</v>
      </c>
      <c r="G14" s="26">
        <f t="shared" si="1"/>
        <v>9187.6900901000008</v>
      </c>
      <c r="H14" s="26">
        <f t="shared" si="1"/>
        <v>10102.168902326754</v>
      </c>
      <c r="I14" s="26">
        <f t="shared" si="1"/>
        <v>4073.7224412900009</v>
      </c>
      <c r="J14" s="26">
        <f t="shared" si="1"/>
        <v>8495.4243782900012</v>
      </c>
      <c r="K14" s="26">
        <f t="shared" si="1"/>
        <v>7853.2093655079998</v>
      </c>
    </row>
    <row r="15" spans="1:11" x14ac:dyDescent="0.2">
      <c r="A15" s="8" t="s">
        <v>196</v>
      </c>
      <c r="B15" s="8" t="s">
        <v>587</v>
      </c>
      <c r="C15" s="20">
        <f>-Assumptions!$E$14/10000*C27/C29</f>
        <v>-393.64260302360708</v>
      </c>
      <c r="D15" s="20">
        <f>Forecast!$H$15+C15</f>
        <v>-976.51694202360704</v>
      </c>
      <c r="E15" s="20">
        <f>-Assumptions!$E$25/10000*E27/E29</f>
        <v>-822.887561670433</v>
      </c>
      <c r="F15" s="20">
        <f>-Assumptions!$F$14/10000*F27/F29</f>
        <v>-292.30530821128997</v>
      </c>
      <c r="G15" s="20">
        <f>Forecast!$H$15+F15</f>
        <v>-875.17964721128988</v>
      </c>
      <c r="H15" s="20">
        <f>-Assumptions!$F$25/10000*H27/H29</f>
        <v>-616.96529488675344</v>
      </c>
      <c r="I15" s="20">
        <f>-Assumptions!$G$14/10000*I27/I29</f>
        <v>-723.58132192352502</v>
      </c>
      <c r="J15" s="20">
        <f>Forecast!$H$15+I15</f>
        <v>-1306.4556609235251</v>
      </c>
      <c r="K15" s="20">
        <f>-Assumptions!$G$25/10000*K27/K29</f>
        <v>-1771.3917136062314</v>
      </c>
    </row>
    <row r="16" spans="1:11" x14ac:dyDescent="0.2">
      <c r="A16" s="8" t="s">
        <v>198</v>
      </c>
      <c r="B16" s="8" t="s">
        <v>589</v>
      </c>
      <c r="C16" s="20">
        <f>Assumptions!$E$15</f>
        <v>-300</v>
      </c>
      <c r="D16" s="20">
        <f>Forecast!$H$16+C16</f>
        <v>-629.77842199999998</v>
      </c>
      <c r="E16" s="20">
        <f>Assumptions!$E$26</f>
        <v>-720</v>
      </c>
      <c r="F16" s="20">
        <f>Assumptions!$F$15</f>
        <v>-270</v>
      </c>
      <c r="G16" s="20">
        <f>Forecast!$H$16+F16</f>
        <v>-599.77842199999998</v>
      </c>
      <c r="H16" s="20">
        <f>Assumptions!$F$26</f>
        <v>-670</v>
      </c>
      <c r="I16" s="20">
        <f>Assumptions!$G$15</f>
        <v>-350</v>
      </c>
      <c r="J16" s="20">
        <f>Forecast!$H$16+I16</f>
        <v>-679.77842199999998</v>
      </c>
      <c r="K16" s="20">
        <f>Assumptions!$G$26</f>
        <v>-800</v>
      </c>
    </row>
    <row r="17" spans="1:11" x14ac:dyDescent="0.2">
      <c r="A17" s="8" t="s">
        <v>591</v>
      </c>
      <c r="B17" s="8" t="s">
        <v>592</v>
      </c>
      <c r="C17" s="20">
        <f>Assumptions!$E$16</f>
        <v>-15</v>
      </c>
      <c r="D17" s="20">
        <f>Forecast!$H$17+C17</f>
        <v>-18.635895999999999</v>
      </c>
      <c r="E17" s="20">
        <f>Assumptions!$E$27</f>
        <v>-20</v>
      </c>
      <c r="F17" s="20">
        <f>Assumptions!$F$16</f>
        <v>-5</v>
      </c>
      <c r="G17" s="20">
        <f>Forecast!$H$17+F17</f>
        <v>-8.6358959999999989</v>
      </c>
      <c r="H17" s="20">
        <f>Assumptions!$F$27</f>
        <v>-10</v>
      </c>
      <c r="I17" s="20">
        <f>Assumptions!$G$16</f>
        <v>-40</v>
      </c>
      <c r="J17" s="20">
        <f>Forecast!$H$17+I17</f>
        <v>-43.635896000000002</v>
      </c>
      <c r="K17" s="20">
        <f>Assumptions!$G$27</f>
        <v>-60</v>
      </c>
    </row>
    <row r="18" spans="1:11" x14ac:dyDescent="0.2">
      <c r="A18" s="4" t="s">
        <v>202</v>
      </c>
      <c r="B18" s="4" t="s">
        <v>373</v>
      </c>
      <c r="C18" s="26">
        <f t="shared" ref="C18:K18" si="2">C14+C15+C16+C17</f>
        <v>3834.5627555463934</v>
      </c>
      <c r="D18" s="26">
        <f t="shared" si="2"/>
        <v>7339.9760355463941</v>
      </c>
      <c r="E18" s="26">
        <f t="shared" si="2"/>
        <v>7882.7740461709709</v>
      </c>
      <c r="F18" s="26">
        <f t="shared" si="2"/>
        <v>4198.682844888709</v>
      </c>
      <c r="G18" s="26">
        <f t="shared" si="2"/>
        <v>7704.0961248887115</v>
      </c>
      <c r="H18" s="26">
        <f t="shared" si="2"/>
        <v>8805.2036074400003</v>
      </c>
      <c r="I18" s="26">
        <f t="shared" si="2"/>
        <v>2960.1411193664758</v>
      </c>
      <c r="J18" s="26">
        <f t="shared" si="2"/>
        <v>6465.554399366476</v>
      </c>
      <c r="K18" s="26">
        <f t="shared" si="2"/>
        <v>5221.8176519017688</v>
      </c>
    </row>
    <row r="19" spans="1:11" x14ac:dyDescent="0.2">
      <c r="A19" s="8" t="s">
        <v>204</v>
      </c>
      <c r="B19" s="8" t="s">
        <v>205</v>
      </c>
      <c r="C19" s="20">
        <f>-MAX(C18,0)*Assumptions!$E$17</f>
        <v>-901.12224755340242</v>
      </c>
      <c r="D19" s="20">
        <f>Forecast!$H$19+C19</f>
        <v>-1742.4214345534024</v>
      </c>
      <c r="E19" s="20">
        <f>-MAX(E18,0)*Assumptions!$E$28</f>
        <v>-1852.4519008501782</v>
      </c>
      <c r="F19" s="20">
        <f>-MAX(F18,0)*Assumptions!$F$17</f>
        <v>-965.6970543244031</v>
      </c>
      <c r="G19" s="20">
        <f>Forecast!$H$19+F19</f>
        <v>-1806.9962413244032</v>
      </c>
      <c r="H19" s="20">
        <f>-MAX(H18,0)*Assumptions!$F$28</f>
        <v>-2025.1968297112001</v>
      </c>
      <c r="I19" s="20">
        <f>-MAX(I18,0)*Assumptions!$G$17</f>
        <v>-710.43386864795411</v>
      </c>
      <c r="J19" s="20">
        <f>Forecast!$H$19+I19</f>
        <v>-1551.7330556479542</v>
      </c>
      <c r="K19" s="20">
        <f>-MAX(K18,0)*Assumptions!$G$28</f>
        <v>-1253.2362364564244</v>
      </c>
    </row>
    <row r="20" spans="1:11" x14ac:dyDescent="0.2">
      <c r="A20" s="4" t="s">
        <v>206</v>
      </c>
      <c r="B20" s="4" t="s">
        <v>207</v>
      </c>
      <c r="C20" s="26">
        <f t="shared" ref="C20:K20" si="3">C18+C19</f>
        <v>2933.4405079929911</v>
      </c>
      <c r="D20" s="26">
        <f t="shared" si="3"/>
        <v>5597.5546009929913</v>
      </c>
      <c r="E20" s="26">
        <f t="shared" si="3"/>
        <v>6030.3221453207925</v>
      </c>
      <c r="F20" s="26">
        <f t="shared" si="3"/>
        <v>3232.9857905643057</v>
      </c>
      <c r="G20" s="26">
        <f t="shared" si="3"/>
        <v>5897.0998835643086</v>
      </c>
      <c r="H20" s="26">
        <f t="shared" si="3"/>
        <v>6780.0067777288004</v>
      </c>
      <c r="I20" s="26">
        <f t="shared" si="3"/>
        <v>2249.7072507185217</v>
      </c>
      <c r="J20" s="26">
        <f t="shared" si="3"/>
        <v>4913.8213437185223</v>
      </c>
      <c r="K20" s="26">
        <f t="shared" si="3"/>
        <v>3968.5814154453446</v>
      </c>
    </row>
    <row r="21" spans="1:11" x14ac:dyDescent="0.2">
      <c r="A21" s="8" t="s">
        <v>208</v>
      </c>
      <c r="B21" s="8" t="s">
        <v>597</v>
      </c>
      <c r="C21" s="20">
        <f>-C20*Assumptions!$E$18</f>
        <v>-792.02893715810762</v>
      </c>
      <c r="D21" s="20">
        <f>Forecast!$H$21+C21</f>
        <v>-1481.4760381581077</v>
      </c>
      <c r="E21" s="20">
        <f>-E20*Assumptions!$E$29</f>
        <v>-1628.186979236614</v>
      </c>
      <c r="F21" s="20">
        <f>-F20*Assumptions!$F$18</f>
        <v>-872.90616345236265</v>
      </c>
      <c r="G21" s="20">
        <f>Forecast!$H$21+F21</f>
        <v>-1562.3532644523625</v>
      </c>
      <c r="H21" s="20">
        <f>-H20*Assumptions!$F$29</f>
        <v>-1830.6018299867762</v>
      </c>
      <c r="I21" s="20">
        <f>-I20*Assumptions!$G$18</f>
        <v>-607.42095769400089</v>
      </c>
      <c r="J21" s="20">
        <f>Forecast!$H$21+I21</f>
        <v>-1296.8680586940009</v>
      </c>
      <c r="K21" s="20">
        <f>-K20*Assumptions!$G$29</f>
        <v>-1071.5169821702432</v>
      </c>
    </row>
    <row r="22" spans="1:11" x14ac:dyDescent="0.2">
      <c r="A22" s="4" t="s">
        <v>210</v>
      </c>
      <c r="B22" s="4" t="s">
        <v>599</v>
      </c>
      <c r="C22" s="26">
        <f t="shared" ref="C22:K22" si="4">C20+C21</f>
        <v>2141.4115708348836</v>
      </c>
      <c r="D22" s="26">
        <f t="shared" si="4"/>
        <v>4116.078562834884</v>
      </c>
      <c r="E22" s="26">
        <f t="shared" si="4"/>
        <v>4402.1351660841783</v>
      </c>
      <c r="F22" s="26">
        <f t="shared" si="4"/>
        <v>2360.079627111943</v>
      </c>
      <c r="G22" s="26">
        <f t="shared" si="4"/>
        <v>4334.7466191119456</v>
      </c>
      <c r="H22" s="26">
        <f t="shared" si="4"/>
        <v>4949.404947742024</v>
      </c>
      <c r="I22" s="26">
        <f t="shared" si="4"/>
        <v>1642.2862930245208</v>
      </c>
      <c r="J22" s="26">
        <f t="shared" si="4"/>
        <v>3616.9532850245214</v>
      </c>
      <c r="K22" s="26">
        <f t="shared" si="4"/>
        <v>2897.0644332751017</v>
      </c>
    </row>
    <row r="24" spans="1:11" x14ac:dyDescent="0.2">
      <c r="A24" s="4" t="s">
        <v>632</v>
      </c>
    </row>
    <row r="25" spans="1:11" x14ac:dyDescent="0.2">
      <c r="B25" s="8" t="s">
        <v>221</v>
      </c>
      <c r="C25" s="17">
        <f t="shared" ref="C25:K25" si="5">IF(C12&lt;=0,"n.m.",-C13/C12)</f>
        <v>0.44502619719116726</v>
      </c>
      <c r="D25" s="17">
        <f t="shared" si="5"/>
        <v>0.4447278711086679</v>
      </c>
      <c r="E25" s="17">
        <f t="shared" si="5"/>
        <v>0.43673320581946212</v>
      </c>
      <c r="F25" s="17">
        <f t="shared" si="5"/>
        <v>0.42963755883475574</v>
      </c>
      <c r="G25" s="17">
        <f t="shared" si="5"/>
        <v>0.43684926284795766</v>
      </c>
      <c r="H25" s="17">
        <f t="shared" si="5"/>
        <v>0.41607806780493495</v>
      </c>
      <c r="I25" s="17">
        <f t="shared" si="5"/>
        <v>0.47689626546272318</v>
      </c>
      <c r="J25" s="17">
        <f t="shared" si="5"/>
        <v>0.46048217173644046</v>
      </c>
      <c r="K25" s="17">
        <f t="shared" si="5"/>
        <v>0.48985750362619884</v>
      </c>
    </row>
    <row r="26" spans="1:11" x14ac:dyDescent="0.2">
      <c r="B26" s="8" t="s">
        <v>602</v>
      </c>
      <c r="C26" s="20">
        <f>Forecast!$H$26*(1+Assumptions!$E$13)</f>
        <v>295896.28251364001</v>
      </c>
      <c r="D26" s="20">
        <f>C26</f>
        <v>295896.28251364001</v>
      </c>
      <c r="E26" s="20">
        <f>D26*(1+Assumptions!$E$24)</f>
        <v>313650.05946445843</v>
      </c>
      <c r="F26" s="20">
        <f>Forecast!$H$26*(1+Assumptions!$F$13)</f>
        <v>297332.67223457998</v>
      </c>
      <c r="G26" s="20">
        <f>F26</f>
        <v>297332.67223457998</v>
      </c>
      <c r="H26" s="20">
        <f>G26*(1+Assumptions!$F$24)</f>
        <v>319632.62265217345</v>
      </c>
      <c r="I26" s="20">
        <f>Forecast!$H$26*(1+Assumptions!$G$13)</f>
        <v>291587.11335081997</v>
      </c>
      <c r="J26" s="20">
        <f>I26</f>
        <v>291587.11335081997</v>
      </c>
      <c r="K26" s="20">
        <f>J26*(1+Assumptions!$G$24)</f>
        <v>298876.79118459043</v>
      </c>
    </row>
    <row r="27" spans="1:11" x14ac:dyDescent="0.2">
      <c r="B27" s="8" t="s">
        <v>603</v>
      </c>
      <c r="C27" s="20">
        <f>AVERAGE(Forecast!$H$26,C26)</f>
        <v>291587.11335082003</v>
      </c>
      <c r="D27" s="20">
        <f>AVERAGE(Forecast!$H$27,C27)</f>
        <v>279686.51165257674</v>
      </c>
      <c r="E27" s="20">
        <f>AVERAGE(D26,E26)</f>
        <v>304773.17098904925</v>
      </c>
      <c r="F27" s="20">
        <f>AVERAGE(Forecast!$H$26,F26)</f>
        <v>292305.30821128999</v>
      </c>
      <c r="G27" s="20">
        <f>AVERAGE(Forecast!$H$27,F27)</f>
        <v>280045.60908281169</v>
      </c>
      <c r="H27" s="20">
        <f>AVERAGE(G26,H26)</f>
        <v>308482.64744337671</v>
      </c>
      <c r="I27" s="20">
        <f>AVERAGE(Forecast!$H$26,I26)</f>
        <v>289432.52876940998</v>
      </c>
      <c r="J27" s="20">
        <f>AVERAGE(Forecast!$H$27,I27)</f>
        <v>278609.21936187171</v>
      </c>
      <c r="K27" s="20">
        <f>AVERAGE(J26,K26)</f>
        <v>295231.95226770523</v>
      </c>
    </row>
    <row r="28" spans="1:11" x14ac:dyDescent="0.2">
      <c r="B28" s="8" t="s">
        <v>605</v>
      </c>
      <c r="C28" s="23">
        <f t="shared" ref="C28:K28" si="6">IF(ISNUMBER(C27),-C15*C29/C27*10000,"n/a")</f>
        <v>27</v>
      </c>
      <c r="D28" s="23">
        <f t="shared" si="6"/>
        <v>34.914695608797352</v>
      </c>
      <c r="E28" s="23">
        <f t="shared" si="6"/>
        <v>27</v>
      </c>
      <c r="F28" s="23">
        <f t="shared" si="6"/>
        <v>20</v>
      </c>
      <c r="G28" s="23">
        <f t="shared" si="6"/>
        <v>31.251325456507775</v>
      </c>
      <c r="H28" s="23">
        <f t="shared" si="6"/>
        <v>20</v>
      </c>
      <c r="I28" s="23">
        <f t="shared" si="6"/>
        <v>50</v>
      </c>
      <c r="J28" s="23">
        <f t="shared" si="6"/>
        <v>46.89204700102313</v>
      </c>
      <c r="K28" s="23">
        <f t="shared" si="6"/>
        <v>60</v>
      </c>
    </row>
    <row r="29" spans="1:11" x14ac:dyDescent="0.2">
      <c r="B29" s="8" t="s">
        <v>606</v>
      </c>
      <c r="C29" s="27">
        <v>2</v>
      </c>
      <c r="D29" s="27">
        <v>1</v>
      </c>
      <c r="E29" s="27">
        <v>1</v>
      </c>
      <c r="F29" s="27">
        <v>2</v>
      </c>
      <c r="G29" s="27">
        <v>1</v>
      </c>
      <c r="H29" s="27">
        <v>1</v>
      </c>
      <c r="I29" s="27">
        <v>2</v>
      </c>
      <c r="J29" s="27">
        <v>1</v>
      </c>
      <c r="K29" s="27">
        <v>1</v>
      </c>
    </row>
    <row r="30" spans="1:11" x14ac:dyDescent="0.2">
      <c r="B30" s="8" t="s">
        <v>228</v>
      </c>
      <c r="C30" s="17">
        <f t="shared" ref="C30:K30" si="7">IF(C18&lt;=0,"n.m.",-C19/C18)</f>
        <v>0.23499999999999999</v>
      </c>
      <c r="D30" s="17">
        <f t="shared" si="7"/>
        <v>0.23738789147472947</v>
      </c>
      <c r="E30" s="17">
        <f t="shared" si="7"/>
        <v>0.23499999999999999</v>
      </c>
      <c r="F30" s="17">
        <f t="shared" si="7"/>
        <v>0.23</v>
      </c>
      <c r="G30" s="17">
        <f t="shared" si="7"/>
        <v>0.23455006428161693</v>
      </c>
      <c r="H30" s="17">
        <f t="shared" si="7"/>
        <v>0.23</v>
      </c>
      <c r="I30" s="17">
        <f t="shared" si="7"/>
        <v>0.23999999999999996</v>
      </c>
      <c r="J30" s="17">
        <f t="shared" si="7"/>
        <v>0.23999999996906685</v>
      </c>
      <c r="K30" s="17">
        <f t="shared" si="7"/>
        <v>0.24</v>
      </c>
    </row>
    <row r="31" spans="1:11" x14ac:dyDescent="0.2">
      <c r="B31" s="8" t="s">
        <v>557</v>
      </c>
      <c r="C31" s="17">
        <f t="shared" ref="C31:K31" si="8">IF(C20&lt;=0,"n.m.",-C21/C20)</f>
        <v>0.27</v>
      </c>
      <c r="D31" s="17">
        <f t="shared" si="8"/>
        <v>0.26466486595687655</v>
      </c>
      <c r="E31" s="17">
        <f t="shared" si="8"/>
        <v>0.27</v>
      </c>
      <c r="F31" s="17">
        <f t="shared" si="8"/>
        <v>0.27</v>
      </c>
      <c r="G31" s="17">
        <f t="shared" si="8"/>
        <v>0.26493586598503555</v>
      </c>
      <c r="H31" s="17">
        <f t="shared" si="8"/>
        <v>0.27</v>
      </c>
      <c r="I31" s="17">
        <f t="shared" si="8"/>
        <v>0.27</v>
      </c>
      <c r="J31" s="17">
        <f t="shared" si="8"/>
        <v>0.26392250917950533</v>
      </c>
      <c r="K31" s="17">
        <f t="shared" si="8"/>
        <v>0.27</v>
      </c>
    </row>
    <row r="34" spans="1:9" x14ac:dyDescent="0.2">
      <c r="A34" s="4" t="s">
        <v>633</v>
      </c>
    </row>
    <row r="35" spans="1:9" ht="30" x14ac:dyDescent="0.2">
      <c r="A35" s="7"/>
      <c r="B35" s="7" t="s">
        <v>634</v>
      </c>
      <c r="C35" s="7" t="s">
        <v>433</v>
      </c>
      <c r="D35" s="7" t="s">
        <v>438</v>
      </c>
      <c r="E35" s="7" t="s">
        <v>439</v>
      </c>
      <c r="F35" s="7" t="s">
        <v>635</v>
      </c>
      <c r="G35" s="7" t="s">
        <v>636</v>
      </c>
      <c r="H35" s="7" t="s">
        <v>637</v>
      </c>
    </row>
    <row r="36" spans="1:9" x14ac:dyDescent="0.2">
      <c r="B36" s="8" t="s">
        <v>638</v>
      </c>
      <c r="C36" s="20">
        <f>D22</f>
        <v>4116.078562834884</v>
      </c>
      <c r="D36" s="20">
        <f>G22</f>
        <v>4334.7466191119456</v>
      </c>
      <c r="E36" s="20">
        <f>J22</f>
        <v>3616.9532850245214</v>
      </c>
      <c r="F36" s="20">
        <f>IF(AND(ISNUMBER(C36),ISNUMBER(D36)),(D36-C36),"n.m.")</f>
        <v>218.66805627706162</v>
      </c>
      <c r="G36" s="20">
        <f>IF(AND(ISNUMBER(C36),ISNUMBER(E36)),(E36-C36),"n.m.")</f>
        <v>-499.1252778103626</v>
      </c>
      <c r="H36" s="17">
        <f>IF(ABS(C36)&lt;Assumptions!$C$49,"n.m.",(E36-C36)/ABS(C36))</f>
        <v>-0.12126233019872147</v>
      </c>
      <c r="I36" s="2" t="s">
        <v>639</v>
      </c>
    </row>
    <row r="37" spans="1:9" x14ac:dyDescent="0.2">
      <c r="B37" s="8" t="s">
        <v>640</v>
      </c>
      <c r="C37" s="20">
        <f>E22</f>
        <v>4402.1351660841783</v>
      </c>
      <c r="D37" s="20">
        <f>H22</f>
        <v>4949.404947742024</v>
      </c>
      <c r="E37" s="20">
        <f>K22</f>
        <v>2897.0644332751017</v>
      </c>
      <c r="F37" s="20">
        <f>IF(AND(ISNUMBER(C37),ISNUMBER(D37)),(D37-C37),"n.m.")</f>
        <v>547.26978165784567</v>
      </c>
      <c r="G37" s="20">
        <f>IF(AND(ISNUMBER(C37),ISNUMBER(E37)),(E37-C37),"n.m.")</f>
        <v>-1505.0707328090766</v>
      </c>
      <c r="H37" s="17">
        <f>IF(ABS(C37)&lt;Assumptions!$C$49,"n.m.",(E37-C37)/ABS(C37))</f>
        <v>-0.34189562019920411</v>
      </c>
    </row>
    <row r="38" spans="1:9" x14ac:dyDescent="0.2">
      <c r="B38" s="8" t="s">
        <v>641</v>
      </c>
      <c r="C38" s="20">
        <f>D14</f>
        <v>8964.9072955700012</v>
      </c>
      <c r="D38" s="20">
        <f>G14</f>
        <v>9187.6900901000008</v>
      </c>
      <c r="E38" s="20">
        <f>J14</f>
        <v>8495.4243782900012</v>
      </c>
      <c r="F38" s="20">
        <f>IF(AND(ISNUMBER(C38),ISNUMBER(D38)),(D38-C38),"n.m.")</f>
        <v>222.78279452999959</v>
      </c>
      <c r="G38" s="20">
        <f>IF(AND(ISNUMBER(C38),ISNUMBER(E38)),(E38-C38),"n.m.")</f>
        <v>-469.48291728000004</v>
      </c>
      <c r="H38" s="17">
        <f>IF(ABS(C38)&lt;Assumptions!$C$49,"n.m.",(E38-C38)/ABS(C38))</f>
        <v>-5.2368965099281559E-2</v>
      </c>
    </row>
    <row r="39" spans="1:9" x14ac:dyDescent="0.2">
      <c r="B39" s="8" t="s">
        <v>642</v>
      </c>
      <c r="C39" s="20">
        <f>E14</f>
        <v>9445.6616078414045</v>
      </c>
      <c r="D39" s="20">
        <f>H14</f>
        <v>10102.168902326754</v>
      </c>
      <c r="E39" s="20">
        <f>K14</f>
        <v>7853.2093655079998</v>
      </c>
      <c r="F39" s="20">
        <f>IF(AND(ISNUMBER(C39),ISNUMBER(D39)),(D39-C39),"n.m.")</f>
        <v>656.50729448534912</v>
      </c>
      <c r="G39" s="20">
        <f>IF(AND(ISNUMBER(C39),ISNUMBER(E39)),(E39-C39),"n.m.")</f>
        <v>-1592.4522423334047</v>
      </c>
      <c r="H39" s="17">
        <f>IF(ABS(C39)&lt;Assumptions!$C$49,"n.m.",(E39-C39)/ABS(C39))</f>
        <v>-0.16859086302767987</v>
      </c>
    </row>
    <row r="40" spans="1:9" x14ac:dyDescent="0.2">
      <c r="B40" s="8" t="s">
        <v>643</v>
      </c>
      <c r="C40" s="20">
        <f>E15</f>
        <v>-822.887561670433</v>
      </c>
      <c r="D40" s="20">
        <f>H15</f>
        <v>-616.96529488675344</v>
      </c>
      <c r="E40" s="20">
        <f>K15</f>
        <v>-1771.3917136062314</v>
      </c>
      <c r="F40" s="20">
        <f>IF(AND(ISNUMBER(C40),ISNUMBER(D40)),(D40-C40),"n.m.")</f>
        <v>205.92226678367956</v>
      </c>
      <c r="G40" s="20">
        <f>IF(AND(ISNUMBER(C40),ISNUMBER(E40)),(E40-C40),"n.m.")</f>
        <v>-948.5041519357984</v>
      </c>
      <c r="H40" s="17">
        <f>IF(ABS(C40)&lt;Assumptions!$C$49,"n.m.",(E40-C40)/ABS(C40))</f>
        <v>-1.152653407484211</v>
      </c>
    </row>
    <row r="41" spans="1:9" x14ac:dyDescent="0.2">
      <c r="B41" s="8" t="s">
        <v>644</v>
      </c>
      <c r="C41" s="17">
        <f>D25</f>
        <v>0.4447278711086679</v>
      </c>
      <c r="D41" s="17">
        <f>G25</f>
        <v>0.43684926284795766</v>
      </c>
      <c r="E41" s="17">
        <f>J25</f>
        <v>0.46048217173644046</v>
      </c>
      <c r="F41" s="23">
        <f>IF(AND(ISNUMBER(C41),ISNUMBER(D41)),(D41-C41)*10000,"n.m.")</f>
        <v>-78.786082607102401</v>
      </c>
      <c r="G41" s="23">
        <f>IF(AND(ISNUMBER(C41),ISNUMBER(E41)),(E41-C41)*10000,"n.m.")</f>
        <v>157.54300627772554</v>
      </c>
      <c r="H41" s="17" t="s">
        <v>147</v>
      </c>
    </row>
    <row r="42" spans="1:9" x14ac:dyDescent="0.2">
      <c r="B42" s="8" t="s">
        <v>645</v>
      </c>
      <c r="C42" s="17">
        <f>E25</f>
        <v>0.43673320581946212</v>
      </c>
      <c r="D42" s="17">
        <f>H25</f>
        <v>0.41607806780493495</v>
      </c>
      <c r="E42" s="17">
        <f>K25</f>
        <v>0.48985750362619884</v>
      </c>
      <c r="F42" s="23">
        <f>IF(AND(ISNUMBER(C42),ISNUMBER(D42)),(D42-C42)*10000,"n.m.")</f>
        <v>-206.55138014527174</v>
      </c>
      <c r="G42" s="23">
        <f>IF(AND(ISNUMBER(C42),ISNUMBER(E42)),(E42-C42)*10000,"n.m.")</f>
        <v>531.24297806736718</v>
      </c>
      <c r="H42" s="17" t="s">
        <v>147</v>
      </c>
    </row>
    <row r="43" spans="1:9" x14ac:dyDescent="0.2">
      <c r="B43" s="8" t="s">
        <v>646</v>
      </c>
      <c r="C43" s="23">
        <f>E28</f>
        <v>27</v>
      </c>
      <c r="D43" s="23">
        <f>H28</f>
        <v>20</v>
      </c>
      <c r="E43" s="23">
        <f>K28</f>
        <v>60</v>
      </c>
      <c r="F43" s="23">
        <f>IF(AND(ISNUMBER(C43),ISNUMBER(D43)),(D43-C43),"n.m.")</f>
        <v>-7</v>
      </c>
      <c r="G43" s="23">
        <f>IF(AND(ISNUMBER(C43),ISNUMBER(E43)),(E43-C43),"n.m.")</f>
        <v>33</v>
      </c>
      <c r="H43" s="17" t="s">
        <v>147</v>
      </c>
    </row>
    <row r="46" spans="1:9" x14ac:dyDescent="0.2">
      <c r="A46" s="4" t="str">
        <f>"Sensitivity grid: FY2027E net profit attributable (EUR m), scenario "&amp;Assumptions!C4&amp;" - rows: change in operating income; columns: added risk cost in bp"</f>
        <v>Sensitivity grid: FY2027E net profit attributable (EUR m), scenario Base - rows: change in operating income; columns: added risk cost in bp</v>
      </c>
    </row>
    <row r="47" spans="1:9" x14ac:dyDescent="0.2">
      <c r="B47" s="29" t="s">
        <v>647</v>
      </c>
      <c r="C47" s="30">
        <f>Assumptions!C$51</f>
        <v>0</v>
      </c>
      <c r="D47" s="30">
        <f>Assumptions!D$51</f>
        <v>10</v>
      </c>
      <c r="E47" s="30">
        <f>Assumptions!E$51</f>
        <v>20</v>
      </c>
      <c r="F47" s="30">
        <f>Assumptions!F$51</f>
        <v>40</v>
      </c>
      <c r="G47" s="30">
        <f>Assumptions!G$51</f>
        <v>60</v>
      </c>
      <c r="H47" s="30">
        <f>Assumptions!H$51</f>
        <v>80</v>
      </c>
    </row>
    <row r="48" spans="1:9" x14ac:dyDescent="0.2">
      <c r="B48" s="16">
        <f>Assumptions!C$50</f>
        <v>0</v>
      </c>
      <c r="C48" s="20">
        <f>((Forecast!$K$12*(1+$B48)+Forecast!$K$13-(Assumptions!$H$25+C$47)/10000*Forecast!$K$27+Forecast!$K$16+Forecast!$K$17)-MAX((Forecast!$K$12*(1+$B48)+Forecast!$K$13-(Assumptions!$H$25+C$47)/10000*Forecast!$K$27+Forecast!$K$16+Forecast!$K$17),0)*Assumptions!$H$28)*(1-Assumptions!$H$29)</f>
        <v>4402.1351660841783</v>
      </c>
      <c r="D48" s="20">
        <f>((Forecast!$K$12*(1+$B48)+Forecast!$K$13-(Assumptions!$H$25+D$47)/10000*Forecast!$K$27+Forecast!$K$16+Forecast!$K$17)-MAX((Forecast!$K$12*(1+$B48)+Forecast!$K$13-(Assumptions!$H$25+D$47)/10000*Forecast!$K$27+Forecast!$K$16+Forecast!$K$17),0)*Assumptions!$H$28)*(1-Assumptions!$H$29)</f>
        <v>4231.9345887453446</v>
      </c>
      <c r="E48" s="20">
        <f>((Forecast!$K$12*(1+$B48)+Forecast!$K$13-(Assumptions!$H$25+E$47)/10000*Forecast!$K$27+Forecast!$K$16+Forecast!$K$17)-MAX((Forecast!$K$12*(1+$B48)+Forecast!$K$13-(Assumptions!$H$25+E$47)/10000*Forecast!$K$27+Forecast!$K$16+Forecast!$K$17),0)*Assumptions!$H$28)*(1-Assumptions!$H$29)</f>
        <v>4061.73401140651</v>
      </c>
      <c r="F48" s="20">
        <f>((Forecast!$K$12*(1+$B48)+Forecast!$K$13-(Assumptions!$H$25+F$47)/10000*Forecast!$K$27+Forecast!$K$16+Forecast!$K$17)-MAX((Forecast!$K$12*(1+$B48)+Forecast!$K$13-(Assumptions!$H$25+F$47)/10000*Forecast!$K$27+Forecast!$K$16+Forecast!$K$17),0)*Assumptions!$H$28)*(1-Assumptions!$H$29)</f>
        <v>3721.3328567288404</v>
      </c>
      <c r="G48" s="20">
        <f>((Forecast!$K$12*(1+$B48)+Forecast!$K$13-(Assumptions!$H$25+G$47)/10000*Forecast!$K$27+Forecast!$K$16+Forecast!$K$17)-MAX((Forecast!$K$12*(1+$B48)+Forecast!$K$13-(Assumptions!$H$25+G$47)/10000*Forecast!$K$27+Forecast!$K$16+Forecast!$K$17),0)*Assumptions!$H$28)*(1-Assumptions!$H$29)</f>
        <v>3380.9317020511712</v>
      </c>
      <c r="H48" s="20">
        <f>((Forecast!$K$12*(1+$B48)+Forecast!$K$13-(Assumptions!$H$25+H$47)/10000*Forecast!$K$27+Forecast!$K$16+Forecast!$K$17)-MAX((Forecast!$K$12*(1+$B48)+Forecast!$K$13-(Assumptions!$H$25+H$47)/10000*Forecast!$K$27+Forecast!$K$16+Forecast!$K$17),0)*Assumptions!$H$28)*(1-Assumptions!$H$29)</f>
        <v>3040.5305473735029</v>
      </c>
    </row>
    <row r="49" spans="1:8" x14ac:dyDescent="0.2">
      <c r="B49" s="16">
        <f>Assumptions!D$50</f>
        <v>-2.5000000000000001E-2</v>
      </c>
      <c r="C49" s="20">
        <f>((Forecast!$K$12*(1+$B49)+Forecast!$K$13-(Assumptions!$H$25+C$47)/10000*Forecast!$K$27+Forecast!$K$16+Forecast!$K$17)-MAX((Forecast!$K$12*(1+$B49)+Forecast!$K$13-(Assumptions!$H$25+C$47)/10000*Forecast!$K$27+Forecast!$K$16+Forecast!$K$17),0)*Assumptions!$H$28)*(1-Assumptions!$H$29)</f>
        <v>4168.0129978950699</v>
      </c>
      <c r="D49" s="20">
        <f>((Forecast!$K$12*(1+$B49)+Forecast!$K$13-(Assumptions!$H$25+D$47)/10000*Forecast!$K$27+Forecast!$K$16+Forecast!$K$17)-MAX((Forecast!$K$12*(1+$B49)+Forecast!$K$13-(Assumptions!$H$25+D$47)/10000*Forecast!$K$27+Forecast!$K$16+Forecast!$K$17),0)*Assumptions!$H$28)*(1-Assumptions!$H$29)</f>
        <v>3997.8124205562358</v>
      </c>
      <c r="E49" s="20">
        <f>((Forecast!$K$12*(1+$B49)+Forecast!$K$13-(Assumptions!$H$25+E$47)/10000*Forecast!$K$27+Forecast!$K$16+Forecast!$K$17)-MAX((Forecast!$K$12*(1+$B49)+Forecast!$K$13-(Assumptions!$H$25+E$47)/10000*Forecast!$K$27+Forecast!$K$16+Forecast!$K$17),0)*Assumptions!$H$28)*(1-Assumptions!$H$29)</f>
        <v>3827.6118432174017</v>
      </c>
      <c r="F49" s="20">
        <f>((Forecast!$K$12*(1+$B49)+Forecast!$K$13-(Assumptions!$H$25+F$47)/10000*Forecast!$K$27+Forecast!$K$16+Forecast!$K$17)-MAX((Forecast!$K$12*(1+$B49)+Forecast!$K$13-(Assumptions!$H$25+F$47)/10000*Forecast!$K$27+Forecast!$K$16+Forecast!$K$17),0)*Assumptions!$H$28)*(1-Assumptions!$H$29)</f>
        <v>3487.2106885397329</v>
      </c>
      <c r="G49" s="20">
        <f>((Forecast!$K$12*(1+$B49)+Forecast!$K$13-(Assumptions!$H$25+G$47)/10000*Forecast!$K$27+Forecast!$K$16+Forecast!$K$17)-MAX((Forecast!$K$12*(1+$B49)+Forecast!$K$13-(Assumptions!$H$25+G$47)/10000*Forecast!$K$27+Forecast!$K$16+Forecast!$K$17),0)*Assumptions!$H$28)*(1-Assumptions!$H$29)</f>
        <v>3146.8095338620633</v>
      </c>
      <c r="H49" s="20">
        <f>((Forecast!$K$12*(1+$B49)+Forecast!$K$13-(Assumptions!$H$25+H$47)/10000*Forecast!$K$27+Forecast!$K$16+Forecast!$K$17)-MAX((Forecast!$K$12*(1+$B49)+Forecast!$K$13-(Assumptions!$H$25+H$47)/10000*Forecast!$K$27+Forecast!$K$16+Forecast!$K$17),0)*Assumptions!$H$28)*(1-Assumptions!$H$29)</f>
        <v>2806.4083791843946</v>
      </c>
    </row>
    <row r="50" spans="1:8" x14ac:dyDescent="0.2">
      <c r="B50" s="16">
        <f>Assumptions!E$50</f>
        <v>-0.05</v>
      </c>
      <c r="C50" s="20">
        <f>((Forecast!$K$12*(1+$B50)+Forecast!$K$13-(Assumptions!$H$25+C$47)/10000*Forecast!$K$27+Forecast!$K$16+Forecast!$K$17)-MAX((Forecast!$K$12*(1+$B50)+Forecast!$K$13-(Assumptions!$H$25+C$47)/10000*Forecast!$K$27+Forecast!$K$16+Forecast!$K$17),0)*Assumptions!$H$28)*(1-Assumptions!$H$29)</f>
        <v>3933.8908297059611</v>
      </c>
      <c r="D50" s="20">
        <f>((Forecast!$K$12*(1+$B50)+Forecast!$K$13-(Assumptions!$H$25+D$47)/10000*Forecast!$K$27+Forecast!$K$16+Forecast!$K$17)-MAX((Forecast!$K$12*(1+$B50)+Forecast!$K$13-(Assumptions!$H$25+D$47)/10000*Forecast!$K$27+Forecast!$K$16+Forecast!$K$17),0)*Assumptions!$H$28)*(1-Assumptions!$H$29)</f>
        <v>3763.690252367127</v>
      </c>
      <c r="E50" s="20">
        <f>((Forecast!$K$12*(1+$B50)+Forecast!$K$13-(Assumptions!$H$25+E$47)/10000*Forecast!$K$27+Forecast!$K$16+Forecast!$K$17)-MAX((Forecast!$K$12*(1+$B50)+Forecast!$K$13-(Assumptions!$H$25+E$47)/10000*Forecast!$K$27+Forecast!$K$16+Forecast!$K$17),0)*Assumptions!$H$28)*(1-Assumptions!$H$29)</f>
        <v>3593.4896750282919</v>
      </c>
      <c r="F50" s="20">
        <f>((Forecast!$K$12*(1+$B50)+Forecast!$K$13-(Assumptions!$H$25+F$47)/10000*Forecast!$K$27+Forecast!$K$16+Forecast!$K$17)-MAX((Forecast!$K$12*(1+$B50)+Forecast!$K$13-(Assumptions!$H$25+F$47)/10000*Forecast!$K$27+Forecast!$K$16+Forecast!$K$17),0)*Assumptions!$H$28)*(1-Assumptions!$H$29)</f>
        <v>3253.0885203506232</v>
      </c>
      <c r="G50" s="20">
        <f>((Forecast!$K$12*(1+$B50)+Forecast!$K$13-(Assumptions!$H$25+G$47)/10000*Forecast!$K$27+Forecast!$K$16+Forecast!$K$17)-MAX((Forecast!$K$12*(1+$B50)+Forecast!$K$13-(Assumptions!$H$25+G$47)/10000*Forecast!$K$27+Forecast!$K$16+Forecast!$K$17),0)*Assumptions!$H$28)*(1-Assumptions!$H$29)</f>
        <v>2912.687365672954</v>
      </c>
      <c r="H50" s="20">
        <f>((Forecast!$K$12*(1+$B50)+Forecast!$K$13-(Assumptions!$H$25+H$47)/10000*Forecast!$K$27+Forecast!$K$16+Forecast!$K$17)-MAX((Forecast!$K$12*(1+$B50)+Forecast!$K$13-(Assumptions!$H$25+H$47)/10000*Forecast!$K$27+Forecast!$K$16+Forecast!$K$17),0)*Assumptions!$H$28)*(1-Assumptions!$H$29)</f>
        <v>2572.2862109952848</v>
      </c>
    </row>
    <row r="51" spans="1:8" x14ac:dyDescent="0.2">
      <c r="B51" s="16">
        <f>Assumptions!F$50</f>
        <v>-7.4999999999999997E-2</v>
      </c>
      <c r="C51" s="20">
        <f>((Forecast!$K$12*(1+$B51)+Forecast!$K$13-(Assumptions!$H$25+C$47)/10000*Forecast!$K$27+Forecast!$K$16+Forecast!$K$17)-MAX((Forecast!$K$12*(1+$B51)+Forecast!$K$13-(Assumptions!$H$25+C$47)/10000*Forecast!$K$27+Forecast!$K$16+Forecast!$K$17),0)*Assumptions!$H$28)*(1-Assumptions!$H$29)</f>
        <v>3699.7686615168545</v>
      </c>
      <c r="D51" s="20">
        <f>((Forecast!$K$12*(1+$B51)+Forecast!$K$13-(Assumptions!$H$25+D$47)/10000*Forecast!$K$27+Forecast!$K$16+Forecast!$K$17)-MAX((Forecast!$K$12*(1+$B51)+Forecast!$K$13-(Assumptions!$H$25+D$47)/10000*Forecast!$K$27+Forecast!$K$16+Forecast!$K$17),0)*Assumptions!$H$28)*(1-Assumptions!$H$29)</f>
        <v>3529.5680841780195</v>
      </c>
      <c r="E51" s="20">
        <f>((Forecast!$K$12*(1+$B51)+Forecast!$K$13-(Assumptions!$H$25+E$47)/10000*Forecast!$K$27+Forecast!$K$16+Forecast!$K$17)-MAX((Forecast!$K$12*(1+$B51)+Forecast!$K$13-(Assumptions!$H$25+E$47)/10000*Forecast!$K$27+Forecast!$K$16+Forecast!$K$17),0)*Assumptions!$H$28)*(1-Assumptions!$H$29)</f>
        <v>3359.3675068391849</v>
      </c>
      <c r="F51" s="20">
        <f>((Forecast!$K$12*(1+$B51)+Forecast!$K$13-(Assumptions!$H$25+F$47)/10000*Forecast!$K$27+Forecast!$K$16+Forecast!$K$17)-MAX((Forecast!$K$12*(1+$B51)+Forecast!$K$13-(Assumptions!$H$25+F$47)/10000*Forecast!$K$27+Forecast!$K$16+Forecast!$K$17),0)*Assumptions!$H$28)*(1-Assumptions!$H$29)</f>
        <v>3018.9663521615157</v>
      </c>
      <c r="G51" s="20">
        <f>((Forecast!$K$12*(1+$B51)+Forecast!$K$13-(Assumptions!$H$25+G$47)/10000*Forecast!$K$27+Forecast!$K$16+Forecast!$K$17)-MAX((Forecast!$K$12*(1+$B51)+Forecast!$K$13-(Assumptions!$H$25+G$47)/10000*Forecast!$K$27+Forecast!$K$16+Forecast!$K$17),0)*Assumptions!$H$28)*(1-Assumptions!$H$29)</f>
        <v>2678.5651974838465</v>
      </c>
      <c r="H51" s="20">
        <f>((Forecast!$K$12*(1+$B51)+Forecast!$K$13-(Assumptions!$H$25+H$47)/10000*Forecast!$K$27+Forecast!$K$16+Forecast!$K$17)-MAX((Forecast!$K$12*(1+$B51)+Forecast!$K$13-(Assumptions!$H$25+H$47)/10000*Forecast!$K$27+Forecast!$K$16+Forecast!$K$17),0)*Assumptions!$H$28)*(1-Assumptions!$H$29)</f>
        <v>2338.1640428061778</v>
      </c>
    </row>
    <row r="52" spans="1:8" x14ac:dyDescent="0.2">
      <c r="B52" s="16">
        <f>Assumptions!G$50</f>
        <v>-0.1</v>
      </c>
      <c r="C52" s="20">
        <f>((Forecast!$K$12*(1+$B52)+Forecast!$K$13-(Assumptions!$H$25+C$47)/10000*Forecast!$K$27+Forecast!$K$16+Forecast!$K$17)-MAX((Forecast!$K$12*(1+$B52)+Forecast!$K$13-(Assumptions!$H$25+C$47)/10000*Forecast!$K$27+Forecast!$K$16+Forecast!$K$17),0)*Assumptions!$H$28)*(1-Assumptions!$H$29)</f>
        <v>3465.6464933277462</v>
      </c>
      <c r="D52" s="20">
        <f>((Forecast!$K$12*(1+$B52)+Forecast!$K$13-(Assumptions!$H$25+D$47)/10000*Forecast!$K$27+Forecast!$K$16+Forecast!$K$17)-MAX((Forecast!$K$12*(1+$B52)+Forecast!$K$13-(Assumptions!$H$25+D$47)/10000*Forecast!$K$27+Forecast!$K$16+Forecast!$K$17),0)*Assumptions!$H$28)*(1-Assumptions!$H$29)</f>
        <v>3295.4459159889111</v>
      </c>
      <c r="E52" s="20">
        <f>((Forecast!$K$12*(1+$B52)+Forecast!$K$13-(Assumptions!$H$25+E$47)/10000*Forecast!$K$27+Forecast!$K$16+Forecast!$K$17)-MAX((Forecast!$K$12*(1+$B52)+Forecast!$K$13-(Assumptions!$H$25+E$47)/10000*Forecast!$K$27+Forecast!$K$16+Forecast!$K$17),0)*Assumptions!$H$28)*(1-Assumptions!$H$29)</f>
        <v>3125.2453386500761</v>
      </c>
      <c r="F52" s="20">
        <f>((Forecast!$K$12*(1+$B52)+Forecast!$K$13-(Assumptions!$H$25+F$47)/10000*Forecast!$K$27+Forecast!$K$16+Forecast!$K$17)-MAX((Forecast!$K$12*(1+$B52)+Forecast!$K$13-(Assumptions!$H$25+F$47)/10000*Forecast!$K$27+Forecast!$K$16+Forecast!$K$17),0)*Assumptions!$H$28)*(1-Assumptions!$H$29)</f>
        <v>2784.8441839724073</v>
      </c>
      <c r="G52" s="20">
        <f>((Forecast!$K$12*(1+$B52)+Forecast!$K$13-(Assumptions!$H$25+G$47)/10000*Forecast!$K$27+Forecast!$K$16+Forecast!$K$17)-MAX((Forecast!$K$12*(1+$B52)+Forecast!$K$13-(Assumptions!$H$25+G$47)/10000*Forecast!$K$27+Forecast!$K$16+Forecast!$K$17),0)*Assumptions!$H$28)*(1-Assumptions!$H$29)</f>
        <v>2444.4430292947382</v>
      </c>
      <c r="H52" s="20">
        <f>((Forecast!$K$12*(1+$B52)+Forecast!$K$13-(Assumptions!$H$25+H$47)/10000*Forecast!$K$27+Forecast!$K$16+Forecast!$K$17)-MAX((Forecast!$K$12*(1+$B52)+Forecast!$K$13-(Assumptions!$H$25+H$47)/10000*Forecast!$K$27+Forecast!$K$16+Forecast!$K$17),0)*Assumptions!$H$28)*(1-Assumptions!$H$29)</f>
        <v>2104.0418746170694</v>
      </c>
    </row>
    <row r="54" spans="1:8" x14ac:dyDescent="0.2">
      <c r="B54" s="2" t="s">
        <v>648</v>
      </c>
    </row>
    <row r="56" spans="1:8" x14ac:dyDescent="0.2">
      <c r="A56" s="4" t="str">
        <f>"One-at-a-time sensitivities: effect on FY2027E net profit attributable (EUR m), scenario "&amp;Assumptions!C4</f>
        <v>One-at-a-time sensitivities: effect on FY2027E net profit attributable (EUR m), scenario Base</v>
      </c>
    </row>
    <row r="57" spans="1:8" ht="30" x14ac:dyDescent="0.2">
      <c r="A57" s="7"/>
      <c r="B57" s="7" t="s">
        <v>649</v>
      </c>
      <c r="C57" s="7" t="s">
        <v>650</v>
      </c>
      <c r="D57" s="7" t="s">
        <v>651</v>
      </c>
    </row>
    <row r="58" spans="1:8" x14ac:dyDescent="0.2">
      <c r="B58" s="8" t="s">
        <v>652</v>
      </c>
      <c r="C58" s="20">
        <f>-0.01*Forecast!$K$12*(1-Assumptions!$H$28)*(1-Assumptions!$H$29)</f>
        <v>-93.648867275643383</v>
      </c>
      <c r="D58" s="17">
        <f>IF(Forecast!$K$22&lt;=0,"n.m.",C58/Forecast!$K$22)</f>
        <v>-2.1273510181411957E-2</v>
      </c>
    </row>
    <row r="59" spans="1:8" x14ac:dyDescent="0.2">
      <c r="B59" s="8" t="s">
        <v>653</v>
      </c>
      <c r="C59" s="20">
        <f>0.01*Forecast!$K$13*(1-Assumptions!$H$28)*(1-Assumptions!$H$29)</f>
        <v>-40.899570026653045</v>
      </c>
      <c r="D59" s="17">
        <f>IF(Forecast!$K$22&lt;=0,"n.m.",C59/Forecast!$K$22)</f>
        <v>-9.2908483005610092E-3</v>
      </c>
    </row>
    <row r="60" spans="1:8" x14ac:dyDescent="0.2">
      <c r="B60" s="8" t="s">
        <v>654</v>
      </c>
      <c r="C60" s="20">
        <f>-10/10000*Forecast!$K$27*(1-Assumptions!$H$28)*(1-Assumptions!$H$29)</f>
        <v>-170.20057733883456</v>
      </c>
      <c r="D60" s="17">
        <f>IF(Forecast!$K$22&lt;=0,"n.m.",C60/Forecast!$K$22)</f>
        <v>-3.8663187502766462E-2</v>
      </c>
    </row>
    <row r="61" spans="1:8" x14ac:dyDescent="0.2">
      <c r="B61" s="8" t="s">
        <v>655</v>
      </c>
      <c r="C61" s="20">
        <f>-0.01*Forecast!$K$8*(1-Assumptions!$H$28)*(1-Assumptions!$H$29)</f>
        <v>-63.818492659665509</v>
      </c>
      <c r="D61" s="17">
        <f>IF(Forecast!$K$22&lt;=0,"n.m.",C61/Forecast!$K$22)</f>
        <v>-1.4497167908734123E-2</v>
      </c>
    </row>
    <row r="62" spans="1:8" x14ac:dyDescent="0.2">
      <c r="B62" s="8" t="s">
        <v>656</v>
      </c>
      <c r="C62" s="20">
        <f>-0.01*Forecast!$K$18*(1-Assumptions!$H$29)</f>
        <v>-57.544250537048086</v>
      </c>
      <c r="D62" s="17">
        <f>IF(Forecast!$K$22&lt;=0,"n.m.",C62/Forecast!$K$22)</f>
        <v>-1.3071895424836602E-2</v>
      </c>
    </row>
    <row r="65" spans="1:6" x14ac:dyDescent="0.2">
      <c r="A65" s="4" t="s">
        <v>657</v>
      </c>
    </row>
    <row r="66" spans="1:6" ht="30" x14ac:dyDescent="0.2">
      <c r="A66" s="7"/>
      <c r="B66" s="7" t="s">
        <v>634</v>
      </c>
      <c r="C66" s="7" t="s">
        <v>433</v>
      </c>
      <c r="D66" s="7" t="s">
        <v>438</v>
      </c>
      <c r="E66" s="7" t="s">
        <v>439</v>
      </c>
      <c r="F66" s="7" t="s">
        <v>658</v>
      </c>
    </row>
    <row r="67" spans="1:6" x14ac:dyDescent="0.2">
      <c r="B67" s="8" t="s">
        <v>659</v>
      </c>
      <c r="C67" s="20">
        <f>D8</f>
        <v>10988.259512880002</v>
      </c>
      <c r="D67" s="20">
        <f>G8</f>
        <v>11069.055538709999</v>
      </c>
      <c r="E67" s="20">
        <f>J8</f>
        <v>10826.66746122</v>
      </c>
      <c r="F67" s="8" t="s">
        <v>660</v>
      </c>
    </row>
    <row r="68" spans="1:6" x14ac:dyDescent="0.2">
      <c r="B68" s="8" t="s">
        <v>661</v>
      </c>
      <c r="C68" s="20">
        <f>D9</f>
        <v>3973.2429240600004</v>
      </c>
      <c r="D68" s="20">
        <f>G9</f>
        <v>4002.1743045750004</v>
      </c>
      <c r="E68" s="20">
        <f>J9</f>
        <v>3896.0925760200007</v>
      </c>
      <c r="F68" s="8" t="s">
        <v>662</v>
      </c>
    </row>
    <row r="69" spans="1:6" x14ac:dyDescent="0.2">
      <c r="B69" s="8" t="s">
        <v>663</v>
      </c>
      <c r="C69" s="20">
        <f>-D13</f>
        <v>7180.1625343699998</v>
      </c>
      <c r="D69" s="20">
        <f>-G13</f>
        <v>7127.1071461849988</v>
      </c>
      <c r="E69" s="20">
        <f>-J13</f>
        <v>7250.9030519499993</v>
      </c>
      <c r="F69" s="8" t="s">
        <v>664</v>
      </c>
    </row>
    <row r="70" spans="1:6" x14ac:dyDescent="0.2">
      <c r="B70" s="8" t="s">
        <v>221</v>
      </c>
      <c r="C70" s="17">
        <f>D25</f>
        <v>0.4447278711086679</v>
      </c>
      <c r="D70" s="17">
        <f>G25</f>
        <v>0.43684926284795766</v>
      </c>
      <c r="E70" s="17">
        <f>J25</f>
        <v>0.46048217173644046</v>
      </c>
      <c r="F70" s="8" t="s">
        <v>665</v>
      </c>
    </row>
    <row r="71" spans="1:6" x14ac:dyDescent="0.2">
      <c r="B71" s="8" t="s">
        <v>666</v>
      </c>
      <c r="C71" s="23">
        <f>-(D15-Reported_Actuals!$D$119)/D27*10000</f>
        <v>24.116892088864262</v>
      </c>
      <c r="D71" s="23">
        <f>-(G15-Reported_Actuals!$D$119)/G27*10000</f>
        <v>20.467367765148431</v>
      </c>
      <c r="E71" s="23">
        <f>-(J15-Reported_Actuals!$D$119)/J27*10000</f>
        <v>36.052491845895716</v>
      </c>
      <c r="F71" s="8" t="s">
        <v>667</v>
      </c>
    </row>
    <row r="72" spans="1:6" x14ac:dyDescent="0.2">
      <c r="B72" s="8" t="s">
        <v>668</v>
      </c>
      <c r="C72" s="20">
        <f>D22</f>
        <v>4116.078562834884</v>
      </c>
      <c r="D72" s="20">
        <f>G22</f>
        <v>4334.7466191119456</v>
      </c>
      <c r="E72" s="20">
        <f>J22</f>
        <v>3616.9532850245214</v>
      </c>
      <c r="F72" s="8" t="s">
        <v>669</v>
      </c>
    </row>
  </sheetData>
  <mergeCells count="3">
    <mergeCell ref="I5:K5"/>
    <mergeCell ref="F5:H5"/>
    <mergeCell ref="C5:E5"/>
  </mergeCells>
  <pageMargins left="0.75" right="0.75" top="1" bottom="1" header="0.5" footer="0.5"/>
  <pageSetup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118"/>
  <sheetViews>
    <sheetView showGridLines="0" workbookViewId="0">
      <pane xSplit="2" ySplit="4" topLeftCell="C5" activePane="bottomRight" state="frozen"/>
      <selection pane="topRight"/>
      <selection pane="bottomLeft"/>
      <selection pane="bottomRight"/>
    </sheetView>
  </sheetViews>
  <sheetFormatPr baseColWidth="10" defaultColWidth="8.83203125" defaultRowHeight="15" x14ac:dyDescent="0.2"/>
  <cols>
    <col min="1" max="1" width="17" customWidth="1"/>
    <col min="2" max="2" width="60" customWidth="1"/>
    <col min="3" max="3" width="15" customWidth="1"/>
    <col min="4" max="4" width="17" customWidth="1"/>
    <col min="5" max="6" width="15" customWidth="1"/>
    <col min="7" max="8" width="12" customWidth="1"/>
    <col min="9" max="9" width="8" customWidth="1"/>
  </cols>
  <sheetData>
    <row r="1" spans="1:7" ht="19" x14ac:dyDescent="0.25">
      <c r="A1" s="1" t="s">
        <v>670</v>
      </c>
    </row>
    <row r="2" spans="1:7" x14ac:dyDescent="0.2">
      <c r="A2" s="2" t="s">
        <v>671</v>
      </c>
    </row>
    <row r="3" spans="1:7" x14ac:dyDescent="0.2">
      <c r="A3" s="3" t="s">
        <v>672</v>
      </c>
    </row>
    <row r="5" spans="1:7" x14ac:dyDescent="0.2">
      <c r="A5" s="4" t="s">
        <v>673</v>
      </c>
    </row>
    <row r="6" spans="1:7" x14ac:dyDescent="0.2">
      <c r="A6" s="7" t="s">
        <v>153</v>
      </c>
      <c r="B6" s="7" t="s">
        <v>154</v>
      </c>
      <c r="C6" s="7" t="s">
        <v>568</v>
      </c>
      <c r="D6" s="7" t="s">
        <v>567</v>
      </c>
      <c r="E6" s="7" t="s">
        <v>674</v>
      </c>
      <c r="F6" s="7" t="s">
        <v>675</v>
      </c>
      <c r="G6" s="7" t="s">
        <v>676</v>
      </c>
    </row>
    <row r="7" spans="1:7" x14ac:dyDescent="0.2">
      <c r="A7" s="8" t="s">
        <v>170</v>
      </c>
      <c r="B7" s="8" t="s">
        <v>171</v>
      </c>
      <c r="C7" s="20">
        <f>Forecast!$E$8</f>
        <v>7788.4219590000002</v>
      </c>
      <c r="D7" s="20">
        <f>Forecast!$D$8</f>
        <v>7528.2661769999995</v>
      </c>
      <c r="E7" s="20">
        <f t="shared" ref="E7:E21" si="0">C7-D7</f>
        <v>260.15578200000073</v>
      </c>
      <c r="F7" s="17">
        <f>IF(OR(ABS(D7)&lt;Assumptions!$C$49,C7*D7&lt;0),"n.m.",E7/ABS(D7))</f>
        <v>3.4557197618067262E-2</v>
      </c>
      <c r="G7" s="31" t="str">
        <f t="shared" ref="G7:G21" si="1">IF(ABS(E7)&lt;0.5,"-",IF(E7&gt;0,"F","U"))</f>
        <v>F</v>
      </c>
    </row>
    <row r="8" spans="1:7" x14ac:dyDescent="0.2">
      <c r="A8" s="8" t="s">
        <v>174</v>
      </c>
      <c r="B8" s="8" t="s">
        <v>175</v>
      </c>
      <c r="C8" s="20">
        <f>Forecast!$E$9</f>
        <v>3190.5287109999999</v>
      </c>
      <c r="D8" s="20">
        <f>Forecast!$D$9</f>
        <v>2937.5871809999999</v>
      </c>
      <c r="E8" s="20">
        <f t="shared" si="0"/>
        <v>252.94153000000006</v>
      </c>
      <c r="F8" s="17">
        <f>IF(OR(ABS(D8)&lt;Assumptions!$C$49,C8*D8&lt;0),"n.m.",E8/ABS(D8))</f>
        <v>8.610519940854823E-2</v>
      </c>
      <c r="G8" s="31" t="str">
        <f t="shared" si="1"/>
        <v>F</v>
      </c>
    </row>
    <row r="9" spans="1:7" x14ac:dyDescent="0.2">
      <c r="A9" s="8" t="s">
        <v>577</v>
      </c>
      <c r="B9" s="8" t="s">
        <v>533</v>
      </c>
      <c r="C9" s="20">
        <f>Forecast!$E$10</f>
        <v>419.40631099999996</v>
      </c>
      <c r="D9" s="20">
        <f>Forecast!$D$10</f>
        <v>437.127657</v>
      </c>
      <c r="E9" s="20">
        <f t="shared" si="0"/>
        <v>-17.72134600000004</v>
      </c>
      <c r="F9" s="17">
        <f>IF(OR(ABS(D9)&lt;Assumptions!$C$49,C9*D9&lt;0),"n.m.",E9/ABS(D9))</f>
        <v>-4.0540436451953987E-2</v>
      </c>
      <c r="G9" s="31" t="str">
        <f t="shared" si="1"/>
        <v>U</v>
      </c>
    </row>
    <row r="10" spans="1:7" x14ac:dyDescent="0.2">
      <c r="A10" s="8" t="s">
        <v>579</v>
      </c>
      <c r="B10" s="8" t="s">
        <v>580</v>
      </c>
      <c r="C10" s="20">
        <f>Forecast!$E$11</f>
        <v>260.53472199999999</v>
      </c>
      <c r="D10" s="20">
        <f>Forecast!$D$11</f>
        <v>275.49233700000002</v>
      </c>
      <c r="E10" s="20">
        <f t="shared" si="0"/>
        <v>-14.957615000000033</v>
      </c>
      <c r="F10" s="17">
        <f>IF(OR(ABS(D10)&lt;Assumptions!$C$49,C10*D10&lt;0),"n.m.",E10/ABS(D10))</f>
        <v>-5.4294123614770567E-2</v>
      </c>
      <c r="G10" s="31" t="str">
        <f t="shared" si="1"/>
        <v>U</v>
      </c>
    </row>
    <row r="11" spans="1:7" x14ac:dyDescent="0.2">
      <c r="A11" s="4" t="s">
        <v>582</v>
      </c>
      <c r="B11" s="4" t="s">
        <v>215</v>
      </c>
      <c r="C11" s="20">
        <f>Forecast!$E$12</f>
        <v>11658.891703000001</v>
      </c>
      <c r="D11" s="20">
        <f>Forecast!$D$12</f>
        <v>11178.473352000001</v>
      </c>
      <c r="E11" s="20">
        <f t="shared" si="0"/>
        <v>480.41835100000026</v>
      </c>
      <c r="F11" s="17">
        <f>IF(OR(ABS(D11)&lt;Assumptions!$C$49,C11*D11&lt;0),"n.m.",E11/ABS(D11))</f>
        <v>4.2977098560068226E-2</v>
      </c>
      <c r="G11" s="31" t="str">
        <f t="shared" si="1"/>
        <v>F</v>
      </c>
    </row>
    <row r="12" spans="1:7" x14ac:dyDescent="0.2">
      <c r="A12" s="8" t="s">
        <v>277</v>
      </c>
      <c r="B12" s="8" t="s">
        <v>217</v>
      </c>
      <c r="C12" s="20">
        <f>Forecast!$E$13</f>
        <v>-5582.879551</v>
      </c>
      <c r="D12" s="20">
        <f>Forecast!$D$13</f>
        <v>-5278.9167360000001</v>
      </c>
      <c r="E12" s="20">
        <f t="shared" si="0"/>
        <v>-303.96281499999986</v>
      </c>
      <c r="F12" s="17">
        <f>IF(OR(ABS(D12)&lt;Assumptions!$C$49,C12*D12&lt;0),"n.m.",E12/ABS(D12))</f>
        <v>-5.7580528392709975E-2</v>
      </c>
      <c r="G12" s="31" t="str">
        <f t="shared" si="1"/>
        <v>U</v>
      </c>
    </row>
    <row r="13" spans="1:7" x14ac:dyDescent="0.2">
      <c r="A13" s="4" t="s">
        <v>585</v>
      </c>
      <c r="B13" s="4" t="s">
        <v>219</v>
      </c>
      <c r="C13" s="20">
        <f>Forecast!$E$14</f>
        <v>6076.0121520000012</v>
      </c>
      <c r="D13" s="20">
        <f>Forecast!$D$14</f>
        <v>5899.5566160000008</v>
      </c>
      <c r="E13" s="20">
        <f t="shared" si="0"/>
        <v>176.45553600000039</v>
      </c>
      <c r="F13" s="17">
        <f>IF(OR(ABS(D13)&lt;Assumptions!$C$49,C13*D13&lt;0),"n.m.",E13/ABS(D13))</f>
        <v>2.9909965694954247E-2</v>
      </c>
      <c r="G13" s="31" t="str">
        <f t="shared" si="1"/>
        <v>F</v>
      </c>
    </row>
    <row r="14" spans="1:7" x14ac:dyDescent="0.2">
      <c r="A14" s="8" t="s">
        <v>196</v>
      </c>
      <c r="B14" s="8" t="s">
        <v>587</v>
      </c>
      <c r="C14" s="20">
        <f>Forecast!$E$15</f>
        <v>-477.71515999999997</v>
      </c>
      <c r="D14" s="20">
        <f>Forecast!$D$15</f>
        <v>-397.01089400000001</v>
      </c>
      <c r="E14" s="20">
        <f t="shared" si="0"/>
        <v>-80.704265999999961</v>
      </c>
      <c r="F14" s="17">
        <f>IF(OR(ABS(D14)&lt;Assumptions!$C$49,C14*D14&lt;0),"n.m.",E14/ABS(D14))</f>
        <v>-0.2032797266263428</v>
      </c>
      <c r="G14" s="31" t="str">
        <f t="shared" si="1"/>
        <v>U</v>
      </c>
    </row>
    <row r="15" spans="1:7" x14ac:dyDescent="0.2">
      <c r="A15" s="8" t="s">
        <v>198</v>
      </c>
      <c r="B15" s="8" t="s">
        <v>589</v>
      </c>
      <c r="C15" s="20">
        <f>Forecast!$E$16</f>
        <v>-157.53832899999998</v>
      </c>
      <c r="D15" s="20">
        <f>Forecast!$D$16</f>
        <v>-414.31411400000002</v>
      </c>
      <c r="E15" s="20">
        <f t="shared" si="0"/>
        <v>256.77578500000004</v>
      </c>
      <c r="F15" s="17">
        <f>IF(OR(ABS(D15)&lt;Assumptions!$C$49,C15*D15&lt;0),"n.m.",E15/ABS(D15))</f>
        <v>0.61976113369867003</v>
      </c>
      <c r="G15" s="31" t="str">
        <f t="shared" si="1"/>
        <v>F</v>
      </c>
    </row>
    <row r="16" spans="1:7" x14ac:dyDescent="0.2">
      <c r="A16" s="8" t="s">
        <v>591</v>
      </c>
      <c r="B16" s="8" t="s">
        <v>592</v>
      </c>
      <c r="C16" s="20">
        <f>Forecast!$E$17</f>
        <v>-40.754528000000001</v>
      </c>
      <c r="D16" s="20">
        <f>Forecast!$D$17</f>
        <v>-90.959069999999997</v>
      </c>
      <c r="E16" s="20">
        <f t="shared" si="0"/>
        <v>50.204541999999996</v>
      </c>
      <c r="F16" s="17">
        <f>IF(OR(ABS(D16)&lt;Assumptions!$C$49,C16*D16&lt;0),"n.m.",E16/ABS(D16))</f>
        <v>0.55194651836259978</v>
      </c>
      <c r="G16" s="31" t="str">
        <f t="shared" si="1"/>
        <v>F</v>
      </c>
    </row>
    <row r="17" spans="1:7" x14ac:dyDescent="0.2">
      <c r="A17" s="4" t="s">
        <v>202</v>
      </c>
      <c r="B17" s="4" t="s">
        <v>373</v>
      </c>
      <c r="C17" s="20">
        <f>Forecast!$E$18</f>
        <v>5400.004135000001</v>
      </c>
      <c r="D17" s="20">
        <f>Forecast!$D$18</f>
        <v>4997.2725380000011</v>
      </c>
      <c r="E17" s="20">
        <f t="shared" si="0"/>
        <v>402.73159699999997</v>
      </c>
      <c r="F17" s="17">
        <f>IF(OR(ABS(D17)&lt;Assumptions!$C$49,C17*D17&lt;0),"n.m.",E17/ABS(D17))</f>
        <v>8.0590280785682436E-2</v>
      </c>
      <c r="G17" s="31" t="str">
        <f t="shared" si="1"/>
        <v>F</v>
      </c>
    </row>
    <row r="18" spans="1:7" x14ac:dyDescent="0.2">
      <c r="A18" s="8" t="s">
        <v>204</v>
      </c>
      <c r="B18" s="8" t="s">
        <v>205</v>
      </c>
      <c r="C18" s="20">
        <f>Forecast!$E$19</f>
        <v>-1102.7797639999999</v>
      </c>
      <c r="D18" s="20">
        <f>Forecast!$D$19</f>
        <v>-1052.540763</v>
      </c>
      <c r="E18" s="20">
        <f t="shared" si="0"/>
        <v>-50.239000999999917</v>
      </c>
      <c r="F18" s="17">
        <f>IF(OR(ABS(D18)&lt;Assumptions!$C$49,C18*D18&lt;0),"n.m.",E18/ABS(D18))</f>
        <v>-4.7731168963761943E-2</v>
      </c>
      <c r="G18" s="31" t="str">
        <f t="shared" si="1"/>
        <v>U</v>
      </c>
    </row>
    <row r="19" spans="1:7" x14ac:dyDescent="0.2">
      <c r="A19" s="4" t="s">
        <v>206</v>
      </c>
      <c r="B19" s="4" t="s">
        <v>207</v>
      </c>
      <c r="C19" s="20">
        <f>Forecast!$E$20</f>
        <v>4297.2243710000012</v>
      </c>
      <c r="D19" s="20">
        <f>Forecast!$D$20</f>
        <v>3944.7317750000011</v>
      </c>
      <c r="E19" s="20">
        <f t="shared" si="0"/>
        <v>352.49259600000005</v>
      </c>
      <c r="F19" s="17">
        <f>IF(OR(ABS(D19)&lt;Assumptions!$C$49,C19*D19&lt;0),"n.m.",E19/ABS(D19))</f>
        <v>8.9357810899576298E-2</v>
      </c>
      <c r="G19" s="31" t="str">
        <f t="shared" si="1"/>
        <v>F</v>
      </c>
    </row>
    <row r="20" spans="1:7" x14ac:dyDescent="0.2">
      <c r="A20" s="8" t="s">
        <v>208</v>
      </c>
      <c r="B20" s="8" t="s">
        <v>597</v>
      </c>
      <c r="C20" s="20">
        <f>Forecast!$E$21</f>
        <v>-787.67260499999998</v>
      </c>
      <c r="D20" s="20">
        <f>Forecast!$D$21</f>
        <v>-819.43252200000006</v>
      </c>
      <c r="E20" s="20">
        <f t="shared" si="0"/>
        <v>31.759917000000087</v>
      </c>
      <c r="F20" s="17">
        <f>IF(OR(ABS(D20)&lt;Assumptions!$C$49,C20*D20&lt;0),"n.m.",E20/ABS(D20))</f>
        <v>3.8758428726362031E-2</v>
      </c>
      <c r="G20" s="31" t="str">
        <f t="shared" si="1"/>
        <v>F</v>
      </c>
    </row>
    <row r="21" spans="1:7" x14ac:dyDescent="0.2">
      <c r="A21" s="4" t="s">
        <v>210</v>
      </c>
      <c r="B21" s="4" t="s">
        <v>599</v>
      </c>
      <c r="C21" s="20">
        <f>Forecast!$E$22</f>
        <v>3509.5517660000014</v>
      </c>
      <c r="D21" s="20">
        <f>Forecast!$D$22</f>
        <v>3125.299253000001</v>
      </c>
      <c r="E21" s="20">
        <f t="shared" si="0"/>
        <v>384.25251300000036</v>
      </c>
      <c r="F21" s="17">
        <f>IF(OR(ABS(D21)&lt;Assumptions!$C$49,C21*D21&lt;0),"n.m.",E21/ABS(D21))</f>
        <v>0.1229490304428138</v>
      </c>
      <c r="G21" s="31" t="str">
        <f t="shared" si="1"/>
        <v>F</v>
      </c>
    </row>
    <row r="22" spans="1:7" x14ac:dyDescent="0.2">
      <c r="B22" s="8" t="s">
        <v>677</v>
      </c>
      <c r="C22" s="17">
        <f>Forecast!$E$25</f>
        <v>0.47885165187386075</v>
      </c>
      <c r="D22" s="17">
        <f>Forecast!$D$25</f>
        <v>0.47223950621625094</v>
      </c>
      <c r="E22" s="23">
        <f>IF(AND(ISNUMBER(C22),ISNUMBER(D22)),(C22-D22)*100,"n/a")</f>
        <v>0.66121456576098137</v>
      </c>
      <c r="F22" s="8" t="s">
        <v>147</v>
      </c>
      <c r="G22" s="31" t="str">
        <f>IF(ISNUMBER(E22),IF(ABS(E22)&lt;0.05,"-",IF(E22&lt;0,"F","U")),"n/a")</f>
        <v>U</v>
      </c>
    </row>
    <row r="23" spans="1:7" x14ac:dyDescent="0.2">
      <c r="B23" s="8" t="s">
        <v>678</v>
      </c>
      <c r="C23" s="23">
        <f>Forecast!$E$28</f>
        <v>20.900100865186936</v>
      </c>
      <c r="D23" s="23">
        <f>Forecast!$D$28</f>
        <v>18.392095475491764</v>
      </c>
      <c r="E23" s="23">
        <f>IF(AND(ISNUMBER(C23),ISNUMBER(D23)),(C23-D23)*1,"n/a")</f>
        <v>2.5080053896951711</v>
      </c>
      <c r="F23" s="8" t="s">
        <v>147</v>
      </c>
      <c r="G23" s="31" t="str">
        <f>IF(ISNUMBER(E23),IF(ABS(E23)&lt;0.05,"-",IF(E23&lt;0,"F","U")),"n/a")</f>
        <v>U</v>
      </c>
    </row>
    <row r="26" spans="1:7" x14ac:dyDescent="0.2">
      <c r="A26" s="4" t="s">
        <v>679</v>
      </c>
    </row>
    <row r="27" spans="1:7" x14ac:dyDescent="0.2">
      <c r="A27" s="7" t="s">
        <v>153</v>
      </c>
      <c r="B27" s="7" t="s">
        <v>154</v>
      </c>
      <c r="C27" s="7" t="s">
        <v>567</v>
      </c>
      <c r="D27" s="7" t="s">
        <v>566</v>
      </c>
      <c r="E27" s="7" t="s">
        <v>674</v>
      </c>
      <c r="F27" s="7" t="s">
        <v>675</v>
      </c>
      <c r="G27" s="7" t="s">
        <v>676</v>
      </c>
    </row>
    <row r="28" spans="1:7" x14ac:dyDescent="0.2">
      <c r="A28" s="8" t="s">
        <v>170</v>
      </c>
      <c r="B28" s="8" t="s">
        <v>171</v>
      </c>
      <c r="C28" s="20">
        <f>Forecast!$D$8</f>
        <v>7528.2661769999995</v>
      </c>
      <c r="D28" s="20">
        <f>Forecast!$C$8</f>
        <v>7227.9007829999991</v>
      </c>
      <c r="E28" s="20">
        <f t="shared" ref="E28:E42" si="2">C28-D28</f>
        <v>300.36539400000038</v>
      </c>
      <c r="F28" s="17">
        <f>IF(OR(ABS(D28)&lt;Assumptions!$C$49,C28*D28&lt;0),"n.m.",E28/ABS(D28))</f>
        <v>4.1556380340258527E-2</v>
      </c>
      <c r="G28" s="31" t="str">
        <f t="shared" ref="G28:G42" si="3">IF(ABS(E28)&lt;0.5,"-",IF(E28&gt;0,"F","U"))</f>
        <v>F</v>
      </c>
    </row>
    <row r="29" spans="1:7" x14ac:dyDescent="0.2">
      <c r="A29" s="8" t="s">
        <v>174</v>
      </c>
      <c r="B29" s="8" t="s">
        <v>175</v>
      </c>
      <c r="C29" s="20">
        <f>Forecast!$D$9</f>
        <v>2937.5871809999999</v>
      </c>
      <c r="D29" s="20">
        <f>Forecast!$C$9</f>
        <v>2639.5906459999997</v>
      </c>
      <c r="E29" s="20">
        <f t="shared" si="2"/>
        <v>297.99653500000022</v>
      </c>
      <c r="F29" s="17">
        <f>IF(OR(ABS(D29)&lt;Assumptions!$C$49,C29*D29&lt;0),"n.m.",E29/ABS(D29))</f>
        <v>0.1128949806863349</v>
      </c>
      <c r="G29" s="31" t="str">
        <f t="shared" si="3"/>
        <v>F</v>
      </c>
    </row>
    <row r="30" spans="1:7" x14ac:dyDescent="0.2">
      <c r="A30" s="8" t="s">
        <v>577</v>
      </c>
      <c r="B30" s="8" t="s">
        <v>533</v>
      </c>
      <c r="C30" s="20">
        <f>Forecast!$D$10</f>
        <v>437.127657</v>
      </c>
      <c r="D30" s="20">
        <f>Forecast!$C$10</f>
        <v>448.56046900000001</v>
      </c>
      <c r="E30" s="20">
        <f t="shared" si="2"/>
        <v>-11.432812000000013</v>
      </c>
      <c r="F30" s="17">
        <f>IF(OR(ABS(D30)&lt;Assumptions!$C$49,C30*D30&lt;0),"n.m.",E30/ABS(D30))</f>
        <v>-2.548778323129498E-2</v>
      </c>
      <c r="G30" s="31" t="str">
        <f t="shared" si="3"/>
        <v>U</v>
      </c>
    </row>
    <row r="31" spans="1:7" x14ac:dyDescent="0.2">
      <c r="A31" s="8" t="s">
        <v>579</v>
      </c>
      <c r="B31" s="8" t="s">
        <v>580</v>
      </c>
      <c r="C31" s="20">
        <f>Forecast!$D$11</f>
        <v>275.49233700000002</v>
      </c>
      <c r="D31" s="20">
        <f>Forecast!$C$11</f>
        <v>235.56153999999998</v>
      </c>
      <c r="E31" s="20">
        <f t="shared" si="2"/>
        <v>39.930797000000041</v>
      </c>
      <c r="F31" s="17">
        <f>IF(OR(ABS(D31)&lt;Assumptions!$C$49,C31*D31&lt;0),"n.m.",E31/ABS(D31))</f>
        <v>0.16951322783846651</v>
      </c>
      <c r="G31" s="31" t="str">
        <f t="shared" si="3"/>
        <v>F</v>
      </c>
    </row>
    <row r="32" spans="1:7" x14ac:dyDescent="0.2">
      <c r="A32" s="4" t="s">
        <v>582</v>
      </c>
      <c r="B32" s="4" t="s">
        <v>215</v>
      </c>
      <c r="C32" s="20">
        <f>Forecast!$D$12</f>
        <v>11178.473352000001</v>
      </c>
      <c r="D32" s="20">
        <f>Forecast!$C$12</f>
        <v>10551.613437999998</v>
      </c>
      <c r="E32" s="20">
        <f t="shared" si="2"/>
        <v>626.85991400000239</v>
      </c>
      <c r="F32" s="17">
        <f>IF(OR(ABS(D32)&lt;Assumptions!$C$49,C32*D32&lt;0),"n.m.",E32/ABS(D32))</f>
        <v>5.940891577229921E-2</v>
      </c>
      <c r="G32" s="31" t="str">
        <f t="shared" si="3"/>
        <v>F</v>
      </c>
    </row>
    <row r="33" spans="1:7" x14ac:dyDescent="0.2">
      <c r="A33" s="8" t="s">
        <v>277</v>
      </c>
      <c r="B33" s="8" t="s">
        <v>217</v>
      </c>
      <c r="C33" s="20">
        <f>Forecast!$D$13</f>
        <v>-5278.9167360000001</v>
      </c>
      <c r="D33" s="20">
        <f>Forecast!$C$13</f>
        <v>-5019.6050399999995</v>
      </c>
      <c r="E33" s="20">
        <f t="shared" si="2"/>
        <v>-259.31169600000067</v>
      </c>
      <c r="F33" s="17">
        <f>IF(OR(ABS(D33)&lt;Assumptions!$C$49,C33*D33&lt;0),"n.m.",E33/ABS(D33))</f>
        <v>-5.165978078625897E-2</v>
      </c>
      <c r="G33" s="31" t="str">
        <f t="shared" si="3"/>
        <v>U</v>
      </c>
    </row>
    <row r="34" spans="1:7" x14ac:dyDescent="0.2">
      <c r="A34" s="4" t="s">
        <v>585</v>
      </c>
      <c r="B34" s="4" t="s">
        <v>219</v>
      </c>
      <c r="C34" s="20">
        <f>Forecast!$D$14</f>
        <v>5899.5566160000008</v>
      </c>
      <c r="D34" s="20">
        <f>Forecast!$C$14</f>
        <v>5532.008397999999</v>
      </c>
      <c r="E34" s="20">
        <f t="shared" si="2"/>
        <v>367.54821800000173</v>
      </c>
      <c r="F34" s="17">
        <f>IF(OR(ABS(D34)&lt;Assumptions!$C$49,C34*D34&lt;0),"n.m.",E34/ABS(D34))</f>
        <v>6.6440285617223996E-2</v>
      </c>
      <c r="G34" s="31" t="str">
        <f t="shared" si="3"/>
        <v>F</v>
      </c>
    </row>
    <row r="35" spans="1:7" x14ac:dyDescent="0.2">
      <c r="A35" s="8" t="s">
        <v>196</v>
      </c>
      <c r="B35" s="8" t="s">
        <v>587</v>
      </c>
      <c r="C35" s="20">
        <f>Forecast!$D$15</f>
        <v>-397.01089400000001</v>
      </c>
      <c r="D35" s="20">
        <f>Forecast!$C$15</f>
        <v>-127.83523400000001</v>
      </c>
      <c r="E35" s="20">
        <f t="shared" si="2"/>
        <v>-269.17565999999999</v>
      </c>
      <c r="F35" s="17">
        <f>IF(OR(ABS(D35)&lt;Assumptions!$C$49,C35*D35&lt;0),"n.m.",E35/ABS(D35))</f>
        <v>-2.1056453027652764</v>
      </c>
      <c r="G35" s="31" t="str">
        <f t="shared" si="3"/>
        <v>U</v>
      </c>
    </row>
    <row r="36" spans="1:7" x14ac:dyDescent="0.2">
      <c r="A36" s="8" t="s">
        <v>198</v>
      </c>
      <c r="B36" s="8" t="s">
        <v>589</v>
      </c>
      <c r="C36" s="20">
        <f>Forecast!$D$16</f>
        <v>-414.31411400000002</v>
      </c>
      <c r="D36" s="20">
        <f>Forecast!$C$16</f>
        <v>-467.89284999999995</v>
      </c>
      <c r="E36" s="20">
        <f t="shared" si="2"/>
        <v>53.578735999999935</v>
      </c>
      <c r="F36" s="17">
        <f>IF(OR(ABS(D36)&lt;Assumptions!$C$49,C36*D36&lt;0),"n.m.",E36/ABS(D36))</f>
        <v>0.11451069619892662</v>
      </c>
      <c r="G36" s="31" t="str">
        <f t="shared" si="3"/>
        <v>F</v>
      </c>
    </row>
    <row r="37" spans="1:7" x14ac:dyDescent="0.2">
      <c r="A37" s="8" t="s">
        <v>591</v>
      </c>
      <c r="B37" s="8" t="s">
        <v>592</v>
      </c>
      <c r="C37" s="20">
        <f>Forecast!$D$17</f>
        <v>-90.959069999999997</v>
      </c>
      <c r="D37" s="20">
        <f>Forecast!$C$17</f>
        <v>-141.49855499999998</v>
      </c>
      <c r="E37" s="20">
        <f t="shared" si="2"/>
        <v>50.539484999999985</v>
      </c>
      <c r="F37" s="17">
        <f>IF(OR(ABS(D37)&lt;Assumptions!$C$49,C37*D37&lt;0),"n.m.",E37/ABS(D37))</f>
        <v>0.35717315275763761</v>
      </c>
      <c r="G37" s="31" t="str">
        <f t="shared" si="3"/>
        <v>F</v>
      </c>
    </row>
    <row r="38" spans="1:7" x14ac:dyDescent="0.2">
      <c r="A38" s="4" t="s">
        <v>202</v>
      </c>
      <c r="B38" s="4" t="s">
        <v>373</v>
      </c>
      <c r="C38" s="20">
        <f>Forecast!$D$18</f>
        <v>4997.2725380000011</v>
      </c>
      <c r="D38" s="20">
        <f>Forecast!$C$18</f>
        <v>4794.7817589999986</v>
      </c>
      <c r="E38" s="20">
        <f t="shared" si="2"/>
        <v>202.49077900000248</v>
      </c>
      <c r="F38" s="17">
        <f>IF(OR(ABS(D38)&lt;Assumptions!$C$49,C38*D38&lt;0),"n.m.",E38/ABS(D38))</f>
        <v>4.2231490227875153E-2</v>
      </c>
      <c r="G38" s="31" t="str">
        <f t="shared" si="3"/>
        <v>F</v>
      </c>
    </row>
    <row r="39" spans="1:7" x14ac:dyDescent="0.2">
      <c r="A39" s="8" t="s">
        <v>204</v>
      </c>
      <c r="B39" s="8" t="s">
        <v>205</v>
      </c>
      <c r="C39" s="20">
        <f>Forecast!$D$19</f>
        <v>-1052.540763</v>
      </c>
      <c r="D39" s="20">
        <f>Forecast!$C$19</f>
        <v>-874.14919799999996</v>
      </c>
      <c r="E39" s="20">
        <f t="shared" si="2"/>
        <v>-178.39156500000001</v>
      </c>
      <c r="F39" s="17">
        <f>IF(OR(ABS(D39)&lt;Assumptions!$C$49,C39*D39&lt;0),"n.m.",E39/ABS(D39))</f>
        <v>-0.20407450513956774</v>
      </c>
      <c r="G39" s="31" t="str">
        <f t="shared" si="3"/>
        <v>U</v>
      </c>
    </row>
    <row r="40" spans="1:7" x14ac:dyDescent="0.2">
      <c r="A40" s="4" t="s">
        <v>206</v>
      </c>
      <c r="B40" s="4" t="s">
        <v>207</v>
      </c>
      <c r="C40" s="20">
        <f>Forecast!$D$20</f>
        <v>3944.7317750000011</v>
      </c>
      <c r="D40" s="20">
        <f>Forecast!$C$20</f>
        <v>3920.6325609999985</v>
      </c>
      <c r="E40" s="20">
        <f t="shared" si="2"/>
        <v>24.099214000002576</v>
      </c>
      <c r="F40" s="17">
        <f>IF(OR(ABS(D40)&lt;Assumptions!$C$49,C40*D40&lt;0),"n.m.",E40/ABS(D40))</f>
        <v>6.146766784453736E-3</v>
      </c>
      <c r="G40" s="31" t="str">
        <f t="shared" si="3"/>
        <v>F</v>
      </c>
    </row>
    <row r="41" spans="1:7" x14ac:dyDescent="0.2">
      <c r="A41" s="8" t="s">
        <v>208</v>
      </c>
      <c r="B41" s="8" t="s">
        <v>597</v>
      </c>
      <c r="C41" s="20">
        <f>Forecast!$D$21</f>
        <v>-819.43252200000006</v>
      </c>
      <c r="D41" s="20">
        <f>Forecast!$C$21</f>
        <v>-923.05686900000001</v>
      </c>
      <c r="E41" s="20">
        <f t="shared" si="2"/>
        <v>103.62434699999994</v>
      </c>
      <c r="F41" s="17">
        <f>IF(OR(ABS(D41)&lt;Assumptions!$C$49,C41*D41&lt;0),"n.m.",E41/ABS(D41))</f>
        <v>0.11226214817323454</v>
      </c>
      <c r="G41" s="31" t="str">
        <f t="shared" si="3"/>
        <v>F</v>
      </c>
    </row>
    <row r="42" spans="1:7" x14ac:dyDescent="0.2">
      <c r="A42" s="4" t="s">
        <v>210</v>
      </c>
      <c r="B42" s="4" t="s">
        <v>599</v>
      </c>
      <c r="C42" s="20">
        <f>Forecast!$D$22</f>
        <v>3125.299253000001</v>
      </c>
      <c r="D42" s="20">
        <f>Forecast!$C$22</f>
        <v>2997.5756919999985</v>
      </c>
      <c r="E42" s="20">
        <f t="shared" si="2"/>
        <v>127.72356100000252</v>
      </c>
      <c r="F42" s="17">
        <f>IF(OR(ABS(D42)&lt;Assumptions!$C$49,C42*D42&lt;0),"n.m.",E42/ABS(D42))</f>
        <v>4.2608952741668607E-2</v>
      </c>
      <c r="G42" s="31" t="str">
        <f t="shared" si="3"/>
        <v>F</v>
      </c>
    </row>
    <row r="43" spans="1:7" x14ac:dyDescent="0.2">
      <c r="B43" s="8" t="s">
        <v>677</v>
      </c>
      <c r="C43" s="17">
        <f>Forecast!$D$25</f>
        <v>0.47223950621625094</v>
      </c>
      <c r="D43" s="17">
        <f>Forecast!$C$25</f>
        <v>0.4757191939881602</v>
      </c>
      <c r="E43" s="23">
        <f>IF(AND(ISNUMBER(C43),ISNUMBER(D43)),(C43-D43)*100,"n/a")</f>
        <v>-0.34796877719092678</v>
      </c>
      <c r="F43" s="8" t="s">
        <v>147</v>
      </c>
      <c r="G43" s="31" t="str">
        <f>IF(ISNUMBER(E43),IF(ABS(E43)&lt;0.05,"-",IF(E43&lt;0,"F","U")),"n/a")</f>
        <v>F</v>
      </c>
    </row>
    <row r="44" spans="1:7" x14ac:dyDescent="0.2">
      <c r="B44" s="8" t="s">
        <v>678</v>
      </c>
      <c r="C44" s="23">
        <f>Forecast!$D$28</f>
        <v>18.392095475491764</v>
      </c>
      <c r="D44" s="23" t="str">
        <f>Forecast!$C$28</f>
        <v>n/a</v>
      </c>
      <c r="E44" s="23" t="str">
        <f>IF(AND(ISNUMBER(C44),ISNUMBER(D44)),(C44-D44)*1,"n/a")</f>
        <v>n/a</v>
      </c>
      <c r="F44" s="8" t="s">
        <v>147</v>
      </c>
      <c r="G44" s="31" t="str">
        <f>IF(ISNUMBER(E44),IF(ABS(E44)&lt;0.05,"-",IF(E44&lt;0,"F","U")),"n/a")</f>
        <v>n/a</v>
      </c>
    </row>
    <row r="47" spans="1:7" x14ac:dyDescent="0.2">
      <c r="A47" s="4" t="s">
        <v>680</v>
      </c>
    </row>
    <row r="48" spans="1:7" x14ac:dyDescent="0.2">
      <c r="A48" s="7" t="s">
        <v>153</v>
      </c>
      <c r="B48" s="7" t="s">
        <v>154</v>
      </c>
      <c r="C48" s="7" t="s">
        <v>571</v>
      </c>
      <c r="D48" s="7" t="s">
        <v>569</v>
      </c>
      <c r="E48" s="7" t="s">
        <v>674</v>
      </c>
      <c r="F48" s="7" t="s">
        <v>675</v>
      </c>
      <c r="G48" s="7" t="s">
        <v>676</v>
      </c>
    </row>
    <row r="49" spans="1:7" x14ac:dyDescent="0.2">
      <c r="A49" s="8" t="s">
        <v>170</v>
      </c>
      <c r="B49" s="8" t="s">
        <v>171</v>
      </c>
      <c r="C49" s="20">
        <f>Forecast!$H$8</f>
        <v>5386.4017220000005</v>
      </c>
      <c r="D49" s="20">
        <f>Forecast!$F$8</f>
        <v>3786.412233</v>
      </c>
      <c r="E49" s="20">
        <f t="shared" ref="E49:E63" si="4">C49-D49</f>
        <v>1599.9894890000005</v>
      </c>
      <c r="F49" s="17">
        <f>IF(OR(ABS(D49)&lt;Assumptions!$C$49,C49*D49&lt;0),"n.m.",E49/ABS(D49))</f>
        <v>0.42256082817805551</v>
      </c>
      <c r="G49" s="31" t="str">
        <f t="shared" ref="G49:G63" si="5">IF(ABS(E49)&lt;0.5,"-",IF(E49&gt;0,"F","U"))</f>
        <v>F</v>
      </c>
    </row>
    <row r="50" spans="1:7" x14ac:dyDescent="0.2">
      <c r="A50" s="8" t="s">
        <v>174</v>
      </c>
      <c r="B50" s="8" t="s">
        <v>175</v>
      </c>
      <c r="C50" s="20">
        <f>Forecast!$H$9</f>
        <v>1928.7587010000002</v>
      </c>
      <c r="D50" s="20">
        <f>Forecast!$F$9</f>
        <v>1541.6659999999999</v>
      </c>
      <c r="E50" s="20">
        <f t="shared" si="4"/>
        <v>387.09270100000026</v>
      </c>
      <c r="F50" s="17">
        <f>IF(OR(ABS(D50)&lt;Assumptions!$C$49,C50*D50&lt;0),"n.m.",E50/ABS(D50))</f>
        <v>0.25108726598368275</v>
      </c>
      <c r="G50" s="31" t="str">
        <f t="shared" si="5"/>
        <v>F</v>
      </c>
    </row>
    <row r="51" spans="1:7" x14ac:dyDescent="0.2">
      <c r="A51" s="8" t="s">
        <v>577</v>
      </c>
      <c r="B51" s="8" t="s">
        <v>533</v>
      </c>
      <c r="C51" s="20">
        <f>Forecast!$H$10</f>
        <v>463.14274700000004</v>
      </c>
      <c r="D51" s="20">
        <f>Forecast!$F$10</f>
        <v>200.30186900000001</v>
      </c>
      <c r="E51" s="20">
        <f t="shared" si="4"/>
        <v>262.84087800000003</v>
      </c>
      <c r="F51" s="17">
        <f>IF(OR(ABS(D51)&lt;Assumptions!$C$49,C51*D51&lt;0),"n.m.",E51/ABS(D51))</f>
        <v>1.3122237915812958</v>
      </c>
      <c r="G51" s="31" t="str">
        <f t="shared" si="5"/>
        <v>F</v>
      </c>
    </row>
    <row r="52" spans="1:7" x14ac:dyDescent="0.2">
      <c r="A52" s="8" t="s">
        <v>579</v>
      </c>
      <c r="B52" s="8" t="s">
        <v>580</v>
      </c>
      <c r="C52" s="20">
        <f>Forecast!$H$11</f>
        <v>180.424646</v>
      </c>
      <c r="D52" s="20">
        <f>Forecast!$F$11</f>
        <v>140.03537599999999</v>
      </c>
      <c r="E52" s="20">
        <f t="shared" si="4"/>
        <v>40.38927000000001</v>
      </c>
      <c r="F52" s="17">
        <f>IF(OR(ABS(D52)&lt;Assumptions!$C$49,C52*D52&lt;0),"n.m.",E52/ABS(D52))</f>
        <v>0.28842190561904885</v>
      </c>
      <c r="G52" s="31" t="str">
        <f t="shared" si="5"/>
        <v>F</v>
      </c>
    </row>
    <row r="53" spans="1:7" x14ac:dyDescent="0.2">
      <c r="A53" s="4" t="s">
        <v>582</v>
      </c>
      <c r="B53" s="4" t="s">
        <v>215</v>
      </c>
      <c r="C53" s="20">
        <f>Forecast!$H$12</f>
        <v>7958.7278160000014</v>
      </c>
      <c r="D53" s="20">
        <f>Forecast!$F$12</f>
        <v>5668.4154779999999</v>
      </c>
      <c r="E53" s="20">
        <f t="shared" si="4"/>
        <v>2290.3123380000015</v>
      </c>
      <c r="F53" s="17">
        <f>IF(OR(ABS(D53)&lt;Assumptions!$C$49,C53*D53&lt;0),"n.m.",E53/ABS(D53))</f>
        <v>0.40404807073318094</v>
      </c>
      <c r="G53" s="31" t="str">
        <f t="shared" si="5"/>
        <v>F</v>
      </c>
    </row>
    <row r="54" spans="1:7" x14ac:dyDescent="0.2">
      <c r="A54" s="8" t="s">
        <v>277</v>
      </c>
      <c r="B54" s="8" t="s">
        <v>217</v>
      </c>
      <c r="C54" s="20">
        <f>Forecast!$H$13</f>
        <v>-3537.0258789999998</v>
      </c>
      <c r="D54" s="20">
        <f>Forecast!$F$13</f>
        <v>-2705.835732</v>
      </c>
      <c r="E54" s="20">
        <f t="shared" si="4"/>
        <v>-831.1901469999998</v>
      </c>
      <c r="F54" s="17">
        <f>IF(OR(ABS(D54)&lt;Assumptions!$C$49,C54*D54&lt;0),"n.m.",E54/ABS(D54))</f>
        <v>-0.30718425999409477</v>
      </c>
      <c r="G54" s="31" t="str">
        <f t="shared" si="5"/>
        <v>U</v>
      </c>
    </row>
    <row r="55" spans="1:7" x14ac:dyDescent="0.2">
      <c r="A55" s="4" t="s">
        <v>585</v>
      </c>
      <c r="B55" s="4" t="s">
        <v>219</v>
      </c>
      <c r="C55" s="20">
        <f>Forecast!$H$14</f>
        <v>4421.7019370000016</v>
      </c>
      <c r="D55" s="20">
        <f>Forecast!$F$14</f>
        <v>2962.5797459999999</v>
      </c>
      <c r="E55" s="20">
        <f t="shared" si="4"/>
        <v>1459.1221910000017</v>
      </c>
      <c r="F55" s="17">
        <f>IF(OR(ABS(D55)&lt;Assumptions!$C$49,C55*D55&lt;0),"n.m.",E55/ABS(D55))</f>
        <v>0.49251743956262156</v>
      </c>
      <c r="G55" s="31" t="str">
        <f t="shared" si="5"/>
        <v>F</v>
      </c>
    </row>
    <row r="56" spans="1:7" x14ac:dyDescent="0.2">
      <c r="A56" s="8" t="s">
        <v>196</v>
      </c>
      <c r="B56" s="8" t="s">
        <v>587</v>
      </c>
      <c r="C56" s="20">
        <f>Forecast!$H$15</f>
        <v>-582.87433899999996</v>
      </c>
      <c r="D56" s="20">
        <f>Forecast!$F$15</f>
        <v>-181.976921</v>
      </c>
      <c r="E56" s="20">
        <f t="shared" si="4"/>
        <v>-400.89741799999996</v>
      </c>
      <c r="F56" s="17">
        <f>IF(OR(ABS(D56)&lt;Assumptions!$C$49,C56*D56&lt;0),"n.m.",E56/ABS(D56))</f>
        <v>-2.2030124248557867</v>
      </c>
      <c r="G56" s="31" t="str">
        <f t="shared" si="5"/>
        <v>U</v>
      </c>
    </row>
    <row r="57" spans="1:7" x14ac:dyDescent="0.2">
      <c r="A57" s="8" t="s">
        <v>198</v>
      </c>
      <c r="B57" s="8" t="s">
        <v>589</v>
      </c>
      <c r="C57" s="20">
        <f>Forecast!$H$16</f>
        <v>-329.77842199999998</v>
      </c>
      <c r="D57" s="20">
        <f>Forecast!$F$16</f>
        <v>-182.87764399999998</v>
      </c>
      <c r="E57" s="20">
        <f t="shared" si="4"/>
        <v>-146.900778</v>
      </c>
      <c r="F57" s="17">
        <f>IF(OR(ABS(D57)&lt;Assumptions!$C$49,C57*D57&lt;0),"n.m.",E57/ABS(D57))</f>
        <v>-0.80327357016913459</v>
      </c>
      <c r="G57" s="31" t="str">
        <f t="shared" si="5"/>
        <v>U</v>
      </c>
    </row>
    <row r="58" spans="1:7" x14ac:dyDescent="0.2">
      <c r="A58" s="8" t="s">
        <v>591</v>
      </c>
      <c r="B58" s="8" t="s">
        <v>592</v>
      </c>
      <c r="C58" s="20">
        <f>Forecast!$H$17</f>
        <v>-3.6358959999999998</v>
      </c>
      <c r="D58" s="20">
        <f>Forecast!$F$17</f>
        <v>-14.870484000000001</v>
      </c>
      <c r="E58" s="20">
        <f t="shared" si="4"/>
        <v>11.234588000000002</v>
      </c>
      <c r="F58" s="17" t="str">
        <f>IF(OR(ABS(D58)&lt;Assumptions!$C$49,C58*D58&lt;0),"n.m.",E58/ABS(D58))</f>
        <v>n.m.</v>
      </c>
      <c r="G58" s="31" t="str">
        <f t="shared" si="5"/>
        <v>F</v>
      </c>
    </row>
    <row r="59" spans="1:7" x14ac:dyDescent="0.2">
      <c r="A59" s="4" t="s">
        <v>202</v>
      </c>
      <c r="B59" s="4" t="s">
        <v>373</v>
      </c>
      <c r="C59" s="20">
        <f>Forecast!$H$18</f>
        <v>3505.413280000002</v>
      </c>
      <c r="D59" s="20">
        <f>Forecast!$F$18</f>
        <v>2582.8546969999998</v>
      </c>
      <c r="E59" s="20">
        <f t="shared" si="4"/>
        <v>922.55858300000227</v>
      </c>
      <c r="F59" s="17">
        <f>IF(OR(ABS(D59)&lt;Assumptions!$C$49,C59*D59&lt;0),"n.m.",E59/ABS(D59))</f>
        <v>0.35718563033048634</v>
      </c>
      <c r="G59" s="31" t="str">
        <f t="shared" si="5"/>
        <v>F</v>
      </c>
    </row>
    <row r="60" spans="1:7" x14ac:dyDescent="0.2">
      <c r="A60" s="8" t="s">
        <v>204</v>
      </c>
      <c r="B60" s="8" t="s">
        <v>205</v>
      </c>
      <c r="C60" s="20">
        <f>Forecast!$H$19</f>
        <v>-841.29918700000007</v>
      </c>
      <c r="D60" s="20">
        <f>Forecast!$F$19</f>
        <v>-529.48521299999993</v>
      </c>
      <c r="E60" s="20">
        <f t="shared" si="4"/>
        <v>-311.81397400000014</v>
      </c>
      <c r="F60" s="17">
        <f>IF(OR(ABS(D60)&lt;Assumptions!$C$49,C60*D60&lt;0),"n.m.",E60/ABS(D60))</f>
        <v>-0.58890024942018582</v>
      </c>
      <c r="G60" s="31" t="str">
        <f t="shared" si="5"/>
        <v>U</v>
      </c>
    </row>
    <row r="61" spans="1:7" x14ac:dyDescent="0.2">
      <c r="A61" s="4" t="s">
        <v>206</v>
      </c>
      <c r="B61" s="4" t="s">
        <v>207</v>
      </c>
      <c r="C61" s="20">
        <f>Forecast!$H$20</f>
        <v>2664.114093000002</v>
      </c>
      <c r="D61" s="20">
        <f>Forecast!$F$20</f>
        <v>2053.3694839999998</v>
      </c>
      <c r="E61" s="20">
        <f t="shared" si="4"/>
        <v>610.74460900000213</v>
      </c>
      <c r="F61" s="17">
        <f>IF(OR(ABS(D61)&lt;Assumptions!$C$49,C61*D61&lt;0),"n.m.",E61/ABS(D61))</f>
        <v>0.29743531973128429</v>
      </c>
      <c r="G61" s="31" t="str">
        <f t="shared" si="5"/>
        <v>F</v>
      </c>
    </row>
    <row r="62" spans="1:7" x14ac:dyDescent="0.2">
      <c r="A62" s="8" t="s">
        <v>208</v>
      </c>
      <c r="B62" s="8" t="s">
        <v>597</v>
      </c>
      <c r="C62" s="20">
        <f>Forecast!$H$21</f>
        <v>-689.44710099999998</v>
      </c>
      <c r="D62" s="20">
        <f>Forecast!$F$21</f>
        <v>-388.70252600000003</v>
      </c>
      <c r="E62" s="20">
        <f t="shared" si="4"/>
        <v>-300.74457499999994</v>
      </c>
      <c r="F62" s="17">
        <f>IF(OR(ABS(D62)&lt;Assumptions!$C$49,C62*D62&lt;0),"n.m.",E62/ABS(D62))</f>
        <v>-0.773713971182168</v>
      </c>
      <c r="G62" s="31" t="str">
        <f t="shared" si="5"/>
        <v>U</v>
      </c>
    </row>
    <row r="63" spans="1:7" x14ac:dyDescent="0.2">
      <c r="A63" s="4" t="s">
        <v>210</v>
      </c>
      <c r="B63" s="4" t="s">
        <v>599</v>
      </c>
      <c r="C63" s="20">
        <f>Forecast!$H$22</f>
        <v>1974.666992000002</v>
      </c>
      <c r="D63" s="20">
        <f>Forecast!$F$22</f>
        <v>1664.6669579999998</v>
      </c>
      <c r="E63" s="20">
        <f t="shared" si="4"/>
        <v>310.00003400000219</v>
      </c>
      <c r="F63" s="17">
        <f>IF(OR(ABS(D63)&lt;Assumptions!$C$49,C63*D63&lt;0),"n.m.",E63/ABS(D63))</f>
        <v>0.18622345599533563</v>
      </c>
      <c r="G63" s="31" t="str">
        <f t="shared" si="5"/>
        <v>F</v>
      </c>
    </row>
    <row r="64" spans="1:7" x14ac:dyDescent="0.2">
      <c r="B64" s="8" t="s">
        <v>677</v>
      </c>
      <c r="C64" s="17">
        <f>Forecast!$H$25</f>
        <v>0.44442101310328302</v>
      </c>
      <c r="D64" s="17">
        <f>Forecast!$F$25</f>
        <v>0.47735310555511823</v>
      </c>
      <c r="E64" s="23">
        <f>IF(AND(ISNUMBER(C64),ISNUMBER(D64)),(C64-D64)*100,"n/a")</f>
        <v>-3.2932092451835207</v>
      </c>
      <c r="F64" s="8" t="s">
        <v>147</v>
      </c>
      <c r="G64" s="31" t="str">
        <f>IF(ISNUMBER(E64),IF(ABS(E64)&lt;0.05,"-",IF(E64&lt;0,"F","U")),"n/a")</f>
        <v>F</v>
      </c>
    </row>
    <row r="65" spans="1:9" x14ac:dyDescent="0.2">
      <c r="B65" s="8" t="s">
        <v>678</v>
      </c>
      <c r="C65" s="23">
        <f>Forecast!$H$28</f>
        <v>43.532860940995732</v>
      </c>
      <c r="D65" s="23">
        <f>Forecast!$F$28</f>
        <v>16.183720500426301</v>
      </c>
      <c r="E65" s="23">
        <f>IF(AND(ISNUMBER(C65),ISNUMBER(D65)),(C65-D65)*1,"n/a")</f>
        <v>27.349140440569432</v>
      </c>
      <c r="F65" s="8" t="s">
        <v>147</v>
      </c>
      <c r="G65" s="31" t="str">
        <f>IF(ISNUMBER(E65),IF(ABS(E65)&lt;0.05,"-",IF(E65&lt;0,"F","U")),"n/a")</f>
        <v>U</v>
      </c>
    </row>
    <row r="68" spans="1:9" x14ac:dyDescent="0.2">
      <c r="A68" s="4" t="s">
        <v>681</v>
      </c>
    </row>
    <row r="69" spans="1:9" ht="30" x14ac:dyDescent="0.2">
      <c r="A69" s="7" t="s">
        <v>153</v>
      </c>
      <c r="B69" s="7" t="s">
        <v>154</v>
      </c>
      <c r="C69" s="7" t="s">
        <v>682</v>
      </c>
      <c r="D69" s="7" t="s">
        <v>683</v>
      </c>
      <c r="E69" s="7" t="s">
        <v>684</v>
      </c>
      <c r="F69" s="7" t="s">
        <v>569</v>
      </c>
      <c r="G69" s="7" t="s">
        <v>674</v>
      </c>
      <c r="H69" s="7" t="s">
        <v>675</v>
      </c>
      <c r="I69" s="7" t="s">
        <v>676</v>
      </c>
    </row>
    <row r="70" spans="1:9" x14ac:dyDescent="0.2">
      <c r="A70" s="8" t="s">
        <v>170</v>
      </c>
      <c r="B70" s="8" t="s">
        <v>171</v>
      </c>
      <c r="C70" s="20">
        <f>Forecast!$H$8</f>
        <v>5386.4017220000005</v>
      </c>
      <c r="D70" s="20">
        <f>SUM(INDEX(tblPoland[[Q1 26]:[Q2 26]],MATCH("NII",tblPoland[Code],0),0))</f>
        <v>1369.984545</v>
      </c>
      <c r="E70" s="20">
        <f t="shared" ref="E70:E84" si="6">C70-D70</f>
        <v>4016.4171770000003</v>
      </c>
      <c r="F70" s="20">
        <f>Forecast!$F$8</f>
        <v>3786.412233</v>
      </c>
      <c r="G70" s="20">
        <f t="shared" ref="G70:G84" si="7">E70-F70</f>
        <v>230.00494400000025</v>
      </c>
      <c r="H70" s="17">
        <f>IF(OR(ABS(F70)&lt;Assumptions!$C$49,E70*F70&lt;0),"n.m.",G70/ABS(F70))</f>
        <v>6.0744823819081577E-2</v>
      </c>
      <c r="I70" s="31" t="str">
        <f t="shared" ref="I70:I84" si="8">IF(ABS(G70)&lt;0.5,"-",IF(G70&gt;0,"F","U"))</f>
        <v>F</v>
      </c>
    </row>
    <row r="71" spans="1:9" x14ac:dyDescent="0.2">
      <c r="A71" s="8" t="s">
        <v>174</v>
      </c>
      <c r="B71" s="8" t="s">
        <v>175</v>
      </c>
      <c r="C71" s="20">
        <f>Forecast!$H$9</f>
        <v>1928.7587010000002</v>
      </c>
      <c r="D71" s="20">
        <f>SUM(INDEX(tblPoland[[Q1 26]:[Q2 26]],MATCH("NFCI",tblPoland[Code],0),0))</f>
        <v>251.188771</v>
      </c>
      <c r="E71" s="20">
        <f t="shared" si="6"/>
        <v>1677.5699300000001</v>
      </c>
      <c r="F71" s="20">
        <f>Forecast!$F$9</f>
        <v>1541.6659999999999</v>
      </c>
      <c r="G71" s="20">
        <f t="shared" si="7"/>
        <v>135.90393000000017</v>
      </c>
      <c r="H71" s="17">
        <f>IF(OR(ABS(F71)&lt;Assumptions!$C$49,E71*F71&lt;0),"n.m.",G71/ABS(F71))</f>
        <v>8.8153938661162778E-2</v>
      </c>
      <c r="I71" s="31" t="str">
        <f t="shared" si="8"/>
        <v>F</v>
      </c>
    </row>
    <row r="72" spans="1:9" x14ac:dyDescent="0.2">
      <c r="A72" s="8" t="s">
        <v>577</v>
      </c>
      <c r="B72" s="8" t="s">
        <v>533</v>
      </c>
      <c r="C72" s="20">
        <f>Forecast!$H$10</f>
        <v>463.14274700000004</v>
      </c>
      <c r="D72" s="20">
        <f>SUM(INDEX(tblPoland[[Q1 26]:[Q2 26]],MATCH("TRADING",tblPoland[Code],0),0))+SUM(INDEX(tblPoland[[Q1 26]:[Q2 26]],MATCH("FVPL",tblPoland[Code],0),0))</f>
        <v>168.332391</v>
      </c>
      <c r="E72" s="20">
        <f t="shared" si="6"/>
        <v>294.81035600000007</v>
      </c>
      <c r="F72" s="20">
        <f>Forecast!$F$10</f>
        <v>200.30186900000001</v>
      </c>
      <c r="G72" s="20">
        <f t="shared" si="7"/>
        <v>94.508487000000059</v>
      </c>
      <c r="H72" s="17">
        <f>IF(OR(ABS(F72)&lt;Assumptions!$C$49,E72*F72&lt;0),"n.m.",G72/ABS(F72))</f>
        <v>0.47183028032554231</v>
      </c>
      <c r="I72" s="31" t="str">
        <f t="shared" si="8"/>
        <v>F</v>
      </c>
    </row>
    <row r="73" spans="1:9" x14ac:dyDescent="0.2">
      <c r="A73" s="8" t="s">
        <v>579</v>
      </c>
      <c r="B73" s="8" t="s">
        <v>580</v>
      </c>
      <c r="C73" s="20">
        <f>Forecast!$H$11</f>
        <v>180.424646</v>
      </c>
      <c r="D73" s="20">
        <f>SUM(INDEX(tblPoland[[Q1 26]:[Q2 26]],MATCH("DIV",tblPoland[Code],0),0))+SUM(INDEX(tblPoland[[Q1 26]:[Q2 26]],MATCH("EQUITY_METHOD",tblPoland[Code],0),0))+SUM(INDEX(tblPoland[[Q1 26]:[Q2 26]],MATCH("RENTAL",tblPoland[Code],0),0))</f>
        <v>31.217246000000003</v>
      </c>
      <c r="E73" s="20">
        <f t="shared" si="6"/>
        <v>149.20740000000001</v>
      </c>
      <c r="F73" s="20">
        <f>Forecast!$F$11</f>
        <v>140.03537599999999</v>
      </c>
      <c r="G73" s="20">
        <f t="shared" si="7"/>
        <v>9.1720240000000217</v>
      </c>
      <c r="H73" s="17">
        <f>IF(OR(ABS(F73)&lt;Assumptions!$C$49,E73*F73&lt;0),"n.m.",G73/ABS(F73))</f>
        <v>6.5497906757504068E-2</v>
      </c>
      <c r="I73" s="31" t="str">
        <f t="shared" si="8"/>
        <v>F</v>
      </c>
    </row>
    <row r="74" spans="1:9" x14ac:dyDescent="0.2">
      <c r="A74" s="4" t="s">
        <v>582</v>
      </c>
      <c r="B74" s="4" t="s">
        <v>215</v>
      </c>
      <c r="C74" s="20">
        <f>Forecast!$H$12</f>
        <v>7958.7278160000014</v>
      </c>
      <c r="D74" s="20">
        <f>SUM(D70:D73)</f>
        <v>1820.722953</v>
      </c>
      <c r="E74" s="20">
        <f t="shared" si="6"/>
        <v>6138.0048630000019</v>
      </c>
      <c r="F74" s="20">
        <f>Forecast!$F$12</f>
        <v>5668.4154779999999</v>
      </c>
      <c r="G74" s="20">
        <f t="shared" si="7"/>
        <v>469.58938500000204</v>
      </c>
      <c r="H74" s="17">
        <f>IF(OR(ABS(F74)&lt;Assumptions!$C$49,E74*F74&lt;0),"n.m.",G74/ABS(F74))</f>
        <v>8.2843148464072772E-2</v>
      </c>
      <c r="I74" s="31" t="str">
        <f t="shared" si="8"/>
        <v>F</v>
      </c>
    </row>
    <row r="75" spans="1:9" x14ac:dyDescent="0.2">
      <c r="A75" s="8" t="s">
        <v>277</v>
      </c>
      <c r="B75" s="8" t="s">
        <v>217</v>
      </c>
      <c r="C75" s="20">
        <f>Forecast!$H$13</f>
        <v>-3537.0258789999998</v>
      </c>
      <c r="D75" s="20">
        <f>SUM(INDEX(tblPoland[[Q1 26]:[Q2 26]],MATCH("OPEX",tblPoland[Code],0),0))</f>
        <v>-737.99232099999995</v>
      </c>
      <c r="E75" s="20">
        <f t="shared" si="6"/>
        <v>-2799.0335580000001</v>
      </c>
      <c r="F75" s="20">
        <f>Forecast!$F$13</f>
        <v>-2705.835732</v>
      </c>
      <c r="G75" s="20">
        <f t="shared" si="7"/>
        <v>-93.197826000000077</v>
      </c>
      <c r="H75" s="17">
        <f>IF(OR(ABS(F75)&lt;Assumptions!$C$49,E75*F75&lt;0),"n.m.",G75/ABS(F75))</f>
        <v>-3.4443268265628803E-2</v>
      </c>
      <c r="I75" s="31" t="str">
        <f t="shared" si="8"/>
        <v>U</v>
      </c>
    </row>
    <row r="76" spans="1:9" x14ac:dyDescent="0.2">
      <c r="A76" s="4" t="s">
        <v>585</v>
      </c>
      <c r="B76" s="4" t="s">
        <v>219</v>
      </c>
      <c r="C76" s="20">
        <f>Forecast!$H$14</f>
        <v>4421.7019370000016</v>
      </c>
      <c r="D76" s="20">
        <f>D74+D75</f>
        <v>1082.730632</v>
      </c>
      <c r="E76" s="20">
        <f t="shared" si="6"/>
        <v>3338.9713050000018</v>
      </c>
      <c r="F76" s="20">
        <f>Forecast!$F$14</f>
        <v>2962.5797459999999</v>
      </c>
      <c r="G76" s="20">
        <f t="shared" si="7"/>
        <v>376.39155900000196</v>
      </c>
      <c r="H76" s="17">
        <f>IF(OR(ABS(F76)&lt;Assumptions!$C$49,E76*F76&lt;0),"n.m.",G76/ABS(F76))</f>
        <v>0.12704858308310393</v>
      </c>
      <c r="I76" s="31" t="str">
        <f t="shared" si="8"/>
        <v>F</v>
      </c>
    </row>
    <row r="77" spans="1:9" x14ac:dyDescent="0.2">
      <c r="A77" s="8" t="s">
        <v>196</v>
      </c>
      <c r="B77" s="8" t="s">
        <v>587</v>
      </c>
      <c r="C77" s="20">
        <f>Forecast!$H$15</f>
        <v>-582.87433899999996</v>
      </c>
      <c r="D77" s="20">
        <f>SUM(INDEX(tblPoland[[Q1 26]:[Q2 26]],MATCH("IMPAIRMENT",tblPoland[Code],0),0))</f>
        <v>-362.21367600000002</v>
      </c>
      <c r="E77" s="20">
        <f t="shared" si="6"/>
        <v>-220.66066299999994</v>
      </c>
      <c r="F77" s="20">
        <f>Forecast!$F$15</f>
        <v>-181.976921</v>
      </c>
      <c r="G77" s="20">
        <f t="shared" si="7"/>
        <v>-38.683741999999938</v>
      </c>
      <c r="H77" s="17">
        <f>IF(OR(ABS(F77)&lt;Assumptions!$C$49,E77*F77&lt;0),"n.m.",G77/ABS(F77))</f>
        <v>-0.2125749891108441</v>
      </c>
      <c r="I77" s="31" t="str">
        <f t="shared" si="8"/>
        <v>U</v>
      </c>
    </row>
    <row r="78" spans="1:9" x14ac:dyDescent="0.2">
      <c r="A78" s="8" t="s">
        <v>198</v>
      </c>
      <c r="B78" s="8" t="s">
        <v>589</v>
      </c>
      <c r="C78" s="20">
        <f>Forecast!$H$16</f>
        <v>-329.77842199999998</v>
      </c>
      <c r="D78" s="20">
        <f>SUM(INDEX(tblPoland[[Q1 26]:[Q2 26]],MATCH("OTHER_OP_RESULT",tblPoland[Code],0),0))</f>
        <v>-117.858102</v>
      </c>
      <c r="E78" s="20">
        <f t="shared" si="6"/>
        <v>-211.92031999999998</v>
      </c>
      <c r="F78" s="20">
        <f>Forecast!$F$16</f>
        <v>-182.87764399999998</v>
      </c>
      <c r="G78" s="20">
        <f t="shared" si="7"/>
        <v>-29.042676</v>
      </c>
      <c r="H78" s="17">
        <f>IF(OR(ABS(F78)&lt;Assumptions!$C$49,E78*F78&lt;0),"n.m.",G78/ABS(F78))</f>
        <v>-0.15880932936778211</v>
      </c>
      <c r="I78" s="31" t="str">
        <f t="shared" si="8"/>
        <v>U</v>
      </c>
    </row>
    <row r="79" spans="1:9" x14ac:dyDescent="0.2">
      <c r="A79" s="8" t="s">
        <v>591</v>
      </c>
      <c r="B79" s="8" t="s">
        <v>592</v>
      </c>
      <c r="C79" s="20">
        <f>Forecast!$H$17</f>
        <v>-3.6358959999999998</v>
      </c>
      <c r="D79" s="20">
        <f>SUM(INDEX(tblPoland[[Q1 26]:[Q2 26]],MATCH("DEREC_AC",tblPoland[Code],0),0))+SUM(INDEX(tblPoland[[Q1 26]:[Q2 26]],MATCH("DEREC_OTHER",tblPoland[Code],0),0))</f>
        <v>-2.576892</v>
      </c>
      <c r="E79" s="20">
        <f t="shared" si="6"/>
        <v>-1.0590039999999998</v>
      </c>
      <c r="F79" s="20">
        <f>Forecast!$F$17</f>
        <v>-14.870484000000001</v>
      </c>
      <c r="G79" s="20">
        <f t="shared" si="7"/>
        <v>13.811480000000001</v>
      </c>
      <c r="H79" s="17" t="str">
        <f>IF(OR(ABS(F79)&lt;Assumptions!$C$49,E79*F79&lt;0),"n.m.",G79/ABS(F79))</f>
        <v>n.m.</v>
      </c>
      <c r="I79" s="31" t="str">
        <f t="shared" si="8"/>
        <v>F</v>
      </c>
    </row>
    <row r="80" spans="1:9" x14ac:dyDescent="0.2">
      <c r="A80" s="4" t="s">
        <v>202</v>
      </c>
      <c r="B80" s="4" t="s">
        <v>373</v>
      </c>
      <c r="C80" s="20">
        <f>Forecast!$H$18</f>
        <v>3505.413280000002</v>
      </c>
      <c r="D80" s="20">
        <f>D76+D77+D78+D79</f>
        <v>600.08196199999986</v>
      </c>
      <c r="E80" s="20">
        <f t="shared" si="6"/>
        <v>2905.3313180000023</v>
      </c>
      <c r="F80" s="20">
        <f>Forecast!$F$18</f>
        <v>2582.8546969999998</v>
      </c>
      <c r="G80" s="20">
        <f t="shared" si="7"/>
        <v>322.47662100000252</v>
      </c>
      <c r="H80" s="17">
        <f>IF(OR(ABS(F80)&lt;Assumptions!$C$49,E80*F80&lt;0),"n.m.",G80/ABS(F80))</f>
        <v>0.12485279229008156</v>
      </c>
      <c r="I80" s="31" t="str">
        <f t="shared" si="8"/>
        <v>F</v>
      </c>
    </row>
    <row r="81" spans="1:9" x14ac:dyDescent="0.2">
      <c r="A81" s="8" t="s">
        <v>204</v>
      </c>
      <c r="B81" s="8" t="s">
        <v>205</v>
      </c>
      <c r="C81" s="20">
        <f>Forecast!$H$19</f>
        <v>-841.29918700000007</v>
      </c>
      <c r="D81" s="20">
        <f>SUM(INDEX(tblPoland[[Q1 26]:[Q2 26]],MATCH("TAX",tblPoland[Code],0),0))</f>
        <v>-240.56296600000002</v>
      </c>
      <c r="E81" s="20">
        <f t="shared" si="6"/>
        <v>-600.73622100000011</v>
      </c>
      <c r="F81" s="20">
        <f>Forecast!$F$19</f>
        <v>-529.48521299999993</v>
      </c>
      <c r="G81" s="20">
        <f t="shared" si="7"/>
        <v>-71.251008000000184</v>
      </c>
      <c r="H81" s="17">
        <f>IF(OR(ABS(F81)&lt;Assumptions!$C$49,E81*F81&lt;0),"n.m.",G81/ABS(F81))</f>
        <v>-0.13456656815079024</v>
      </c>
      <c r="I81" s="31" t="str">
        <f t="shared" si="8"/>
        <v>U</v>
      </c>
    </row>
    <row r="82" spans="1:9" x14ac:dyDescent="0.2">
      <c r="A82" s="4" t="s">
        <v>206</v>
      </c>
      <c r="B82" s="4" t="s">
        <v>207</v>
      </c>
      <c r="C82" s="20">
        <f>Forecast!$H$20</f>
        <v>2664.114093000002</v>
      </c>
      <c r="D82" s="20">
        <f>D80+D81</f>
        <v>359.51899599999985</v>
      </c>
      <c r="E82" s="20">
        <f t="shared" si="6"/>
        <v>2304.5950970000022</v>
      </c>
      <c r="F82" s="20">
        <f>Forecast!$F$20</f>
        <v>2053.3694839999998</v>
      </c>
      <c r="G82" s="20">
        <f t="shared" si="7"/>
        <v>251.22561300000234</v>
      </c>
      <c r="H82" s="17">
        <f>IF(OR(ABS(F82)&lt;Assumptions!$C$49,E82*F82&lt;0),"n.m.",G82/ABS(F82))</f>
        <v>0.12234798216179313</v>
      </c>
      <c r="I82" s="31" t="str">
        <f t="shared" si="8"/>
        <v>F</v>
      </c>
    </row>
    <row r="83" spans="1:9" x14ac:dyDescent="0.2">
      <c r="A83" s="8" t="s">
        <v>208</v>
      </c>
      <c r="B83" s="8" t="s">
        <v>597</v>
      </c>
      <c r="C83" s="20">
        <f>Forecast!$H$21</f>
        <v>-689.44710099999998</v>
      </c>
      <c r="D83" s="20">
        <f>-SUM(INDEX(tblPoland[[Q1 26]:[Q2 26]],MATCH("NCI",tblPoland[Code],0),0))</f>
        <v>-176.48856699999999</v>
      </c>
      <c r="E83" s="20">
        <f t="shared" si="6"/>
        <v>-512.95853399999999</v>
      </c>
      <c r="F83" s="20">
        <f>Forecast!$F$21</f>
        <v>-388.70252600000003</v>
      </c>
      <c r="G83" s="20">
        <f t="shared" si="7"/>
        <v>-124.25600799999995</v>
      </c>
      <c r="H83" s="17">
        <f>IF(OR(ABS(F83)&lt;Assumptions!$C$49,E83*F83&lt;0),"n.m.",G83/ABS(F83))</f>
        <v>-0.3196686403833659</v>
      </c>
      <c r="I83" s="31" t="str">
        <f t="shared" si="8"/>
        <v>U</v>
      </c>
    </row>
    <row r="84" spans="1:9" x14ac:dyDescent="0.2">
      <c r="A84" s="4" t="s">
        <v>210</v>
      </c>
      <c r="B84" s="4" t="s">
        <v>599</v>
      </c>
      <c r="C84" s="20">
        <f>Forecast!$H$22</f>
        <v>1974.666992000002</v>
      </c>
      <c r="D84" s="20">
        <f>D82+D83</f>
        <v>183.03042899999986</v>
      </c>
      <c r="E84" s="20">
        <f t="shared" si="6"/>
        <v>1791.6365630000021</v>
      </c>
      <c r="F84" s="20">
        <f>Forecast!$F$22</f>
        <v>1664.6669579999998</v>
      </c>
      <c r="G84" s="20">
        <f t="shared" si="7"/>
        <v>126.96960500000228</v>
      </c>
      <c r="H84" s="17">
        <f>IF(OR(ABS(F84)&lt;Assumptions!$C$49,E84*F84&lt;0),"n.m.",G84/ABS(F84))</f>
        <v>7.6273277600553108E-2</v>
      </c>
      <c r="I84" s="31" t="str">
        <f t="shared" si="8"/>
        <v>F</v>
      </c>
    </row>
    <row r="85" spans="1:9" x14ac:dyDescent="0.2">
      <c r="B85" s="8" t="s">
        <v>677</v>
      </c>
      <c r="C85" s="17">
        <f>IF(C74&lt;=0,"n.m.",-C75/C74)</f>
        <v>0.44442101310328302</v>
      </c>
      <c r="D85" s="17">
        <f>IF(D74&lt;=0,"n.m.",-D75/D74)</f>
        <v>0.40532927856158024</v>
      </c>
      <c r="E85" s="17">
        <f>IF(E74&lt;=0,"n.m.",-E75/E74)</f>
        <v>0.45601683616652411</v>
      </c>
      <c r="F85" s="17">
        <f>IF(F74&lt;=0,"n.m.",-F75/F74)</f>
        <v>0.47735310555511823</v>
      </c>
      <c r="G85" s="23">
        <f>(E85-F85)*100</f>
        <v>-2.133626938859412</v>
      </c>
      <c r="H85" s="8" t="s">
        <v>147</v>
      </c>
      <c r="I85" s="31" t="str">
        <f>IF(ABS(G85)&lt;0.05,"-",IF(G85&lt;0,"F","U"))</f>
        <v>F</v>
      </c>
    </row>
    <row r="86" spans="1:9" x14ac:dyDescent="0.2">
      <c r="B86" s="2" t="s">
        <v>685</v>
      </c>
    </row>
    <row r="89" spans="1:9" x14ac:dyDescent="0.2">
      <c r="A89" s="4" t="s">
        <v>686</v>
      </c>
    </row>
    <row r="90" spans="1:9" x14ac:dyDescent="0.2">
      <c r="A90" s="7"/>
      <c r="B90" s="7" t="s">
        <v>282</v>
      </c>
      <c r="C90" s="7" t="s">
        <v>687</v>
      </c>
      <c r="D90" s="7" t="s">
        <v>688</v>
      </c>
      <c r="E90" s="7" t="s">
        <v>689</v>
      </c>
      <c r="F90" s="7" t="s">
        <v>690</v>
      </c>
    </row>
    <row r="91" spans="1:9" x14ac:dyDescent="0.2">
      <c r="B91" s="8" t="s">
        <v>691</v>
      </c>
      <c r="C91" s="20">
        <f>Forecast!$H$15</f>
        <v>-582.87433899999996</v>
      </c>
      <c r="D91" s="20">
        <f>Reported_Actuals!$D$119</f>
        <v>-302</v>
      </c>
      <c r="E91" s="19">
        <f t="shared" ref="E91:E97" si="9">C91-D91</f>
        <v>-280.87433899999996</v>
      </c>
      <c r="F91" s="2" t="s">
        <v>692</v>
      </c>
    </row>
    <row r="92" spans="1:9" x14ac:dyDescent="0.2">
      <c r="B92" s="8" t="s">
        <v>693</v>
      </c>
      <c r="C92" s="23">
        <f>Forecast!$H$28</f>
        <v>43.532860940995732</v>
      </c>
      <c r="D92" s="23">
        <f>-Reported_Actuals!$D$119*2/Forecast!$H$27*10000</f>
        <v>22.555331611846292</v>
      </c>
      <c r="E92" s="22">
        <f t="shared" si="9"/>
        <v>20.977529329149441</v>
      </c>
      <c r="F92" s="2" t="s">
        <v>694</v>
      </c>
    </row>
    <row r="93" spans="1:9" x14ac:dyDescent="0.2">
      <c r="B93" s="8" t="s">
        <v>695</v>
      </c>
      <c r="C93" s="20">
        <f>Forecast!$H$13</f>
        <v>-3537.0258789999998</v>
      </c>
      <c r="D93" s="20">
        <f>Reported_Actuals!$D$120</f>
        <v>-73</v>
      </c>
      <c r="E93" s="19">
        <f t="shared" si="9"/>
        <v>-3464.0258789999998</v>
      </c>
      <c r="F93" s="2" t="s">
        <v>696</v>
      </c>
    </row>
    <row r="94" spans="1:9" x14ac:dyDescent="0.2">
      <c r="B94" s="8" t="s">
        <v>697</v>
      </c>
      <c r="C94" s="20">
        <f>Forecast!$H$16</f>
        <v>-329.77842199999998</v>
      </c>
      <c r="D94" s="20">
        <f>Reported_Actuals!$D$121</f>
        <v>116</v>
      </c>
      <c r="E94" s="19">
        <f t="shared" si="9"/>
        <v>-445.77842199999998</v>
      </c>
      <c r="F94" s="2" t="s">
        <v>698</v>
      </c>
    </row>
    <row r="95" spans="1:9" x14ac:dyDescent="0.2">
      <c r="B95" s="8" t="s">
        <v>699</v>
      </c>
      <c r="C95" s="20">
        <f>Forecast!$E$16</f>
        <v>-157.53832899999998</v>
      </c>
      <c r="D95" s="20">
        <f>Reported_Actuals!$D$122</f>
        <v>270</v>
      </c>
      <c r="E95" s="19">
        <f t="shared" si="9"/>
        <v>-427.53832899999998</v>
      </c>
      <c r="F95" s="2" t="s">
        <v>700</v>
      </c>
    </row>
    <row r="96" spans="1:9" x14ac:dyDescent="0.2">
      <c r="B96" s="8" t="s">
        <v>701</v>
      </c>
      <c r="C96" s="20">
        <f>Forecast!$E$13</f>
        <v>-5582.879551</v>
      </c>
      <c r="D96" s="20">
        <f>Reported_Actuals!$D$124</f>
        <v>-38</v>
      </c>
      <c r="E96" s="19">
        <f t="shared" si="9"/>
        <v>-5544.879551</v>
      </c>
      <c r="F96" s="2" t="s">
        <v>702</v>
      </c>
    </row>
    <row r="97" spans="1:9" x14ac:dyDescent="0.2">
      <c r="B97" s="8" t="s">
        <v>703</v>
      </c>
      <c r="C97" s="20">
        <f>Forecast!$E$22</f>
        <v>3509.5517660000014</v>
      </c>
      <c r="D97" s="20">
        <f>Reported_Actuals!$D$123</f>
        <v>213</v>
      </c>
      <c r="E97" s="19">
        <f t="shared" si="9"/>
        <v>3296.5517660000014</v>
      </c>
      <c r="F97" s="2" t="s">
        <v>704</v>
      </c>
    </row>
    <row r="98" spans="1:9" x14ac:dyDescent="0.2">
      <c r="B98" s="8" t="s">
        <v>705</v>
      </c>
      <c r="C98" s="17">
        <f>Forecast!$H$25</f>
        <v>0.44442101310328302</v>
      </c>
      <c r="D98" s="17">
        <f>C98-E98</f>
        <v>9.1723202109315616E-3</v>
      </c>
      <c r="E98" s="16">
        <f>-(E93)/Forecast!$H$12</f>
        <v>0.43524869289235146</v>
      </c>
    </row>
    <row r="101" spans="1:9" x14ac:dyDescent="0.2">
      <c r="A101" s="4" t="s">
        <v>706</v>
      </c>
    </row>
    <row r="102" spans="1:9" x14ac:dyDescent="0.2">
      <c r="A102" s="7" t="s">
        <v>153</v>
      </c>
      <c r="B102" s="7" t="s">
        <v>154</v>
      </c>
      <c r="C102" s="7" t="s">
        <v>707</v>
      </c>
      <c r="D102" s="7" t="s">
        <v>525</v>
      </c>
      <c r="E102" s="7" t="s">
        <v>708</v>
      </c>
      <c r="F102" s="7" t="s">
        <v>709</v>
      </c>
      <c r="G102" s="7" t="s">
        <v>674</v>
      </c>
      <c r="H102" s="7" t="s">
        <v>675</v>
      </c>
      <c r="I102" s="7" t="s">
        <v>676</v>
      </c>
    </row>
    <row r="103" spans="1:9" x14ac:dyDescent="0.2">
      <c r="A103" s="8" t="s">
        <v>170</v>
      </c>
      <c r="B103" s="8" t="s">
        <v>171</v>
      </c>
      <c r="C103" s="20">
        <f>Assumptions!$D$34</f>
        <v>11000</v>
      </c>
      <c r="D103" s="17">
        <f t="shared" ref="D103:D117" si="10">IF(C103=0,"n/a",E103/C103)</f>
        <v>0.49</v>
      </c>
      <c r="E103" s="20">
        <f>C103*Assumptions!$E$34</f>
        <v>5390</v>
      </c>
      <c r="F103" s="20">
        <f>Forecast!$H$8</f>
        <v>5386.4017220000005</v>
      </c>
      <c r="G103" s="20">
        <f t="shared" ref="G103:G117" si="11">F103-E103</f>
        <v>-3.5982779999994818</v>
      </c>
      <c r="H103" s="17">
        <f>IF(OR(ABS(E103)&lt;Assumptions!$C$49,F103*E103&lt;0),"n.m.",G103/ABS(E103))</f>
        <v>-6.6758404452680557E-4</v>
      </c>
      <c r="I103" s="31" t="str">
        <f t="shared" ref="I103:I117" si="12">IF(ABS(G103)&lt;0.5,"-",IF(G103&gt;0,"F","U"))</f>
        <v>U</v>
      </c>
    </row>
    <row r="104" spans="1:9" x14ac:dyDescent="0.2">
      <c r="A104" s="8" t="s">
        <v>174</v>
      </c>
      <c r="B104" s="8" t="s">
        <v>175</v>
      </c>
      <c r="C104" s="20">
        <f>Assumptions!$D$35</f>
        <v>4000</v>
      </c>
      <c r="D104" s="17">
        <f t="shared" si="10"/>
        <v>0.48299999999999998</v>
      </c>
      <c r="E104" s="20">
        <f>C104*Assumptions!$E$35</f>
        <v>1932</v>
      </c>
      <c r="F104" s="20">
        <f>Forecast!$H$9</f>
        <v>1928.7587010000002</v>
      </c>
      <c r="G104" s="20">
        <f t="shared" si="11"/>
        <v>-3.241298999999799</v>
      </c>
      <c r="H104" s="17">
        <f>IF(OR(ABS(E104)&lt;Assumptions!$C$49,F104*E104&lt;0),"n.m.",G104/ABS(E104))</f>
        <v>-1.6776909937887157E-3</v>
      </c>
      <c r="I104" s="31" t="str">
        <f t="shared" si="12"/>
        <v>U</v>
      </c>
    </row>
    <row r="105" spans="1:9" x14ac:dyDescent="0.2">
      <c r="A105" s="8" t="s">
        <v>577</v>
      </c>
      <c r="B105" s="8" t="s">
        <v>533</v>
      </c>
      <c r="C105" s="20">
        <f>Assumptions!$D$36</f>
        <v>419</v>
      </c>
      <c r="D105" s="17">
        <f t="shared" si="10"/>
        <v>0.5</v>
      </c>
      <c r="E105" s="20">
        <f>C105*Assumptions!$E$36</f>
        <v>209.5</v>
      </c>
      <c r="F105" s="20">
        <f>Forecast!$H$10</f>
        <v>463.14274700000004</v>
      </c>
      <c r="G105" s="20">
        <f t="shared" si="11"/>
        <v>253.64274700000004</v>
      </c>
      <c r="H105" s="17">
        <f>IF(OR(ABS(E105)&lt;Assumptions!$C$49,F105*E105&lt;0),"n.m.",G105/ABS(E105))</f>
        <v>1.2107052362768498</v>
      </c>
      <c r="I105" s="31" t="str">
        <f t="shared" si="12"/>
        <v>F</v>
      </c>
    </row>
    <row r="106" spans="1:9" x14ac:dyDescent="0.2">
      <c r="A106" s="8" t="s">
        <v>579</v>
      </c>
      <c r="B106" s="8" t="s">
        <v>580</v>
      </c>
      <c r="C106" s="20">
        <f>Assumptions!$D$37</f>
        <v>261</v>
      </c>
      <c r="D106" s="17">
        <f t="shared" si="10"/>
        <v>0.54</v>
      </c>
      <c r="E106" s="20">
        <f>C106*Assumptions!$E$37</f>
        <v>140.94</v>
      </c>
      <c r="F106" s="20">
        <f>Forecast!$H$11</f>
        <v>180.424646</v>
      </c>
      <c r="G106" s="20">
        <f t="shared" si="11"/>
        <v>39.484645999999998</v>
      </c>
      <c r="H106" s="17">
        <f>IF(OR(ABS(E106)&lt;Assumptions!$C$49,F106*E106&lt;0),"n.m.",G106/ABS(E106))</f>
        <v>0.28015216404143606</v>
      </c>
      <c r="I106" s="31" t="str">
        <f t="shared" si="12"/>
        <v>F</v>
      </c>
    </row>
    <row r="107" spans="1:9" x14ac:dyDescent="0.2">
      <c r="A107" s="4" t="s">
        <v>582</v>
      </c>
      <c r="B107" s="4" t="s">
        <v>215</v>
      </c>
      <c r="C107" s="20">
        <f>SUM(C103:C106)</f>
        <v>15680</v>
      </c>
      <c r="D107" s="17">
        <f t="shared" si="10"/>
        <v>0.48931377551020405</v>
      </c>
      <c r="E107" s="20">
        <f>SUM(E103:E106)</f>
        <v>7672.44</v>
      </c>
      <c r="F107" s="20">
        <f>Forecast!$H$12</f>
        <v>7958.7278160000014</v>
      </c>
      <c r="G107" s="20">
        <f t="shared" si="11"/>
        <v>286.28781600000184</v>
      </c>
      <c r="H107" s="17">
        <f>IF(OR(ABS(E107)&lt;Assumptions!$C$49,F107*E107&lt;0),"n.m.",G107/ABS(E107))</f>
        <v>3.7313790137166514E-2</v>
      </c>
      <c r="I107" s="31" t="str">
        <f t="shared" si="12"/>
        <v>F</v>
      </c>
    </row>
    <row r="108" spans="1:9" x14ac:dyDescent="0.2">
      <c r="A108" s="8" t="s">
        <v>277</v>
      </c>
      <c r="B108" s="8" t="s">
        <v>217</v>
      </c>
      <c r="C108" s="20">
        <f>Assumptions!$D$38</f>
        <v>-7000</v>
      </c>
      <c r="D108" s="17">
        <f t="shared" si="10"/>
        <v>0.48699999999999999</v>
      </c>
      <c r="E108" s="20">
        <f>C108*Assumptions!$E$38</f>
        <v>-3409</v>
      </c>
      <c r="F108" s="20">
        <f>Forecast!$H$13</f>
        <v>-3537.0258789999998</v>
      </c>
      <c r="G108" s="20">
        <f t="shared" si="11"/>
        <v>-128.0258789999998</v>
      </c>
      <c r="H108" s="17">
        <f>IF(OR(ABS(E108)&lt;Assumptions!$C$49,F108*E108&lt;0),"n.m.",G108/ABS(E108))</f>
        <v>-3.755525931358164E-2</v>
      </c>
      <c r="I108" s="31" t="str">
        <f t="shared" si="12"/>
        <v>U</v>
      </c>
    </row>
    <row r="109" spans="1:9" x14ac:dyDescent="0.2">
      <c r="A109" s="4" t="s">
        <v>585</v>
      </c>
      <c r="B109" s="4" t="s">
        <v>219</v>
      </c>
      <c r="C109" s="20">
        <f>C107+C108</f>
        <v>8680</v>
      </c>
      <c r="D109" s="17">
        <f t="shared" si="10"/>
        <v>0.4911797235023041</v>
      </c>
      <c r="E109" s="20">
        <f>E107+E108</f>
        <v>4263.4399999999996</v>
      </c>
      <c r="F109" s="20">
        <f>Forecast!$H$14</f>
        <v>4421.7019370000016</v>
      </c>
      <c r="G109" s="20">
        <f t="shared" si="11"/>
        <v>158.26193700000204</v>
      </c>
      <c r="H109" s="17">
        <f>IF(OR(ABS(E109)&lt;Assumptions!$C$49,F109*E109&lt;0),"n.m.",G109/ABS(E109))</f>
        <v>3.7120714024356398E-2</v>
      </c>
      <c r="I109" s="31" t="str">
        <f t="shared" si="12"/>
        <v>F</v>
      </c>
    </row>
    <row r="110" spans="1:9" x14ac:dyDescent="0.2">
      <c r="A110" s="8" t="s">
        <v>196</v>
      </c>
      <c r="B110" s="8" t="s">
        <v>587</v>
      </c>
      <c r="C110" s="20">
        <f>-Assumptions!$D$39/10000*Assumptions!$D$40+Assumptions!$D$41</f>
        <v>-1070</v>
      </c>
      <c r="D110" s="17">
        <f t="shared" si="10"/>
        <v>0.64018691588785048</v>
      </c>
      <c r="E110" s="20">
        <f>-Assumptions!$D$39/10000*Assumptions!$D$40*Assumptions!$E$39+Assumptions!$D$41*Assumptions!$E$41</f>
        <v>-685</v>
      </c>
      <c r="F110" s="20">
        <f>Forecast!$H$15</f>
        <v>-582.87433899999996</v>
      </c>
      <c r="G110" s="20">
        <f t="shared" si="11"/>
        <v>102.12566100000004</v>
      </c>
      <c r="H110" s="17">
        <f>IF(OR(ABS(E110)&lt;Assumptions!$C$49,F110*E110&lt;0),"n.m.",G110/ABS(E110))</f>
        <v>0.14908855620437961</v>
      </c>
      <c r="I110" s="31" t="str">
        <f t="shared" si="12"/>
        <v>F</v>
      </c>
    </row>
    <row r="111" spans="1:9" x14ac:dyDescent="0.2">
      <c r="A111" s="8" t="s">
        <v>198</v>
      </c>
      <c r="B111" s="8" t="s">
        <v>589</v>
      </c>
      <c r="C111" s="20">
        <f>Assumptions!$D$42</f>
        <v>-600</v>
      </c>
      <c r="D111" s="17">
        <f t="shared" si="10"/>
        <v>0.6</v>
      </c>
      <c r="E111" s="20">
        <f>C111*Assumptions!$E$42</f>
        <v>-360</v>
      </c>
      <c r="F111" s="20">
        <f>Forecast!$H$16</f>
        <v>-329.77842199999998</v>
      </c>
      <c r="G111" s="20">
        <f t="shared" si="11"/>
        <v>30.221578000000022</v>
      </c>
      <c r="H111" s="17">
        <f>IF(OR(ABS(E111)&lt;Assumptions!$C$49,F111*E111&lt;0),"n.m.",G111/ABS(E111))</f>
        <v>8.3948827777777846E-2</v>
      </c>
      <c r="I111" s="31" t="str">
        <f t="shared" si="12"/>
        <v>F</v>
      </c>
    </row>
    <row r="112" spans="1:9" x14ac:dyDescent="0.2">
      <c r="A112" s="8" t="s">
        <v>591</v>
      </c>
      <c r="B112" s="8" t="s">
        <v>592</v>
      </c>
      <c r="C112" s="20">
        <f>Assumptions!$D$43</f>
        <v>0</v>
      </c>
      <c r="D112" s="17" t="str">
        <f t="shared" si="10"/>
        <v>n/a</v>
      </c>
      <c r="E112" s="20">
        <f>C112*Assumptions!$E$43</f>
        <v>0</v>
      </c>
      <c r="F112" s="20">
        <f>Forecast!$H$17</f>
        <v>-3.6358959999999998</v>
      </c>
      <c r="G112" s="20">
        <f t="shared" si="11"/>
        <v>-3.6358959999999998</v>
      </c>
      <c r="H112" s="17" t="str">
        <f>IF(OR(ABS(E112)&lt;Assumptions!$C$49,F112*E112&lt;0),"n.m.",G112/ABS(E112))</f>
        <v>n.m.</v>
      </c>
      <c r="I112" s="31" t="str">
        <f t="shared" si="12"/>
        <v>U</v>
      </c>
    </row>
    <row r="113" spans="1:9" x14ac:dyDescent="0.2">
      <c r="A113" s="4" t="s">
        <v>202</v>
      </c>
      <c r="B113" s="4" t="s">
        <v>373</v>
      </c>
      <c r="C113" s="20">
        <f>C109+C110+C111+C112</f>
        <v>7010</v>
      </c>
      <c r="D113" s="17">
        <f t="shared" si="10"/>
        <v>0.45912125534950066</v>
      </c>
      <c r="E113" s="20">
        <f>E109+E110+E111+E112</f>
        <v>3218.4399999999996</v>
      </c>
      <c r="F113" s="20">
        <f>Forecast!$H$18</f>
        <v>3505.413280000002</v>
      </c>
      <c r="G113" s="20">
        <f t="shared" si="11"/>
        <v>286.97328000000243</v>
      </c>
      <c r="H113" s="17">
        <f>IF(OR(ABS(E113)&lt;Assumptions!$C$49,F113*E113&lt;0),"n.m.",G113/ABS(E113))</f>
        <v>8.9165334758455173E-2</v>
      </c>
      <c r="I113" s="31" t="str">
        <f t="shared" si="12"/>
        <v>F</v>
      </c>
    </row>
    <row r="114" spans="1:9" x14ac:dyDescent="0.2">
      <c r="A114" s="8" t="s">
        <v>204</v>
      </c>
      <c r="B114" s="8" t="s">
        <v>205</v>
      </c>
      <c r="C114" s="20">
        <f>-MAX(C113,0)*Assumptions!$D$44</f>
        <v>-1647.35</v>
      </c>
      <c r="D114" s="17">
        <f t="shared" si="10"/>
        <v>0.45912125534950066</v>
      </c>
      <c r="E114" s="20">
        <f>-MAX(E113,0)*Assumptions!$D$44</f>
        <v>-756.33339999999987</v>
      </c>
      <c r="F114" s="20">
        <f>Forecast!$H$19</f>
        <v>-841.29918700000007</v>
      </c>
      <c r="G114" s="20">
        <f t="shared" si="11"/>
        <v>-84.965787000000205</v>
      </c>
      <c r="H114" s="17">
        <f>IF(OR(ABS(E114)&lt;Assumptions!$C$49,F114*E114&lt;0),"n.m.",G114/ABS(E114))</f>
        <v>-0.11233906502079667</v>
      </c>
      <c r="I114" s="31" t="str">
        <f t="shared" si="12"/>
        <v>U</v>
      </c>
    </row>
    <row r="115" spans="1:9" x14ac:dyDescent="0.2">
      <c r="A115" s="4" t="s">
        <v>206</v>
      </c>
      <c r="B115" s="4" t="s">
        <v>207</v>
      </c>
      <c r="C115" s="20">
        <f>C113+C114</f>
        <v>5362.65</v>
      </c>
      <c r="D115" s="17">
        <f t="shared" si="10"/>
        <v>0.45912125534950066</v>
      </c>
      <c r="E115" s="20">
        <f>E113+E114</f>
        <v>2462.1065999999996</v>
      </c>
      <c r="F115" s="20">
        <f>Forecast!$H$20</f>
        <v>2664.114093000002</v>
      </c>
      <c r="G115" s="20">
        <f t="shared" si="11"/>
        <v>202.00749300000234</v>
      </c>
      <c r="H115" s="17">
        <f>IF(OR(ABS(E115)&lt;Assumptions!$C$49,F115*E115&lt;0),"n.m.",G115/ABS(E115))</f>
        <v>8.2046607161526786E-2</v>
      </c>
      <c r="I115" s="31" t="str">
        <f t="shared" si="12"/>
        <v>F</v>
      </c>
    </row>
    <row r="116" spans="1:9" x14ac:dyDescent="0.2">
      <c r="A116" s="8" t="s">
        <v>208</v>
      </c>
      <c r="B116" s="8" t="s">
        <v>597</v>
      </c>
      <c r="C116" s="20">
        <f>-C115*Assumptions!$D$45</f>
        <v>-1447.9155000000001</v>
      </c>
      <c r="D116" s="17">
        <f t="shared" si="10"/>
        <v>0.45912125534950066</v>
      </c>
      <c r="E116" s="20">
        <f>-E115*Assumptions!$D$45</f>
        <v>-664.76878199999999</v>
      </c>
      <c r="F116" s="20">
        <f>Forecast!$H$21</f>
        <v>-689.44710099999998</v>
      </c>
      <c r="G116" s="20">
        <f t="shared" si="11"/>
        <v>-24.678318999999988</v>
      </c>
      <c r="H116" s="17">
        <f>IF(OR(ABS(E116)&lt;Assumptions!$C$49,F116*E116&lt;0),"n.m.",G116/ABS(E116))</f>
        <v>-3.7123161719107303E-2</v>
      </c>
      <c r="I116" s="31" t="str">
        <f t="shared" si="12"/>
        <v>U</v>
      </c>
    </row>
    <row r="117" spans="1:9" x14ac:dyDescent="0.2">
      <c r="A117" s="4" t="s">
        <v>210</v>
      </c>
      <c r="B117" s="4" t="s">
        <v>599</v>
      </c>
      <c r="C117" s="20">
        <f>C115+C116</f>
        <v>3914.7344999999996</v>
      </c>
      <c r="D117" s="17">
        <f t="shared" si="10"/>
        <v>0.45912125534950066</v>
      </c>
      <c r="E117" s="20">
        <f>E115+E116</f>
        <v>1797.3378179999995</v>
      </c>
      <c r="F117" s="20">
        <f>Forecast!$H$22</f>
        <v>1974.666992000002</v>
      </c>
      <c r="G117" s="20">
        <f t="shared" si="11"/>
        <v>177.32917400000247</v>
      </c>
      <c r="H117" s="17">
        <f>IF(OR(ABS(E117)&lt;Assumptions!$C$49,F117*E117&lt;0),"n.m.",G117/ABS(E117))</f>
        <v>9.8662128078586125E-2</v>
      </c>
      <c r="I117" s="31" t="str">
        <f t="shared" si="12"/>
        <v>F</v>
      </c>
    </row>
    <row r="118" spans="1:9" x14ac:dyDescent="0.2">
      <c r="B118" s="8" t="s">
        <v>677</v>
      </c>
      <c r="C118" s="17">
        <f>IF(C107&lt;=0,"n.m.",-C108/C107)</f>
        <v>0.44642857142857145</v>
      </c>
      <c r="D118" s="8" t="s">
        <v>147</v>
      </c>
      <c r="E118" s="17">
        <f>IF(E107&lt;=0,"n.m.",-E108/E107)</f>
        <v>0.44431758345454642</v>
      </c>
      <c r="F118" s="17">
        <f>IF(F107&lt;=0,"n.m.",-F108/F107)</f>
        <v>0.44442101310328302</v>
      </c>
      <c r="G118" s="23">
        <f>(F118-E118)*100</f>
        <v>1.034296487366082E-2</v>
      </c>
      <c r="H118" s="8" t="s">
        <v>147</v>
      </c>
      <c r="I118" s="31" t="str">
        <f>IF(ABS(G118)&lt;0.05,"-",IF(G118&lt;0,"F","U"))</f>
        <v>-</v>
      </c>
    </row>
  </sheetData>
  <conditionalFormatting sqref="G5:I119">
    <cfRule type="cellIs" dxfId="3" priority="1" operator="equal">
      <formula>"F"</formula>
    </cfRule>
    <cfRule type="cellIs" dxfId="2" priority="2" operator="equal">
      <formula>"U"</formula>
    </cfRule>
  </conditionalFormatting>
  <pageMargins left="0.75" right="0.75" top="1" bottom="1" header="0.5" footer="0.5"/>
  <pageSetup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102"/>
  <sheetViews>
    <sheetView showGridLines="0" workbookViewId="0"/>
  </sheetViews>
  <sheetFormatPr baseColWidth="10" defaultColWidth="8.83203125" defaultRowHeight="15" x14ac:dyDescent="0.2"/>
  <cols>
    <col min="1" max="1" width="3" customWidth="1"/>
    <col min="2" max="2" width="28" customWidth="1"/>
    <col min="3" max="13" width="14" customWidth="1"/>
  </cols>
  <sheetData>
    <row r="1" spans="1:13" ht="19" x14ac:dyDescent="0.25">
      <c r="A1" s="1" t="s">
        <v>710</v>
      </c>
    </row>
    <row r="2" spans="1:13" x14ac:dyDescent="0.2">
      <c r="A2" s="2" t="s">
        <v>711</v>
      </c>
    </row>
    <row r="3" spans="1:13" x14ac:dyDescent="0.2">
      <c r="A3" s="3" t="s">
        <v>712</v>
      </c>
    </row>
    <row r="4" spans="1:13" x14ac:dyDescent="0.2">
      <c r="B4" s="4" t="str">
        <f>"Scenario shown: "&amp;Assumptions!C4&amp;"   |   Controls: "&amp;Checks!B4&amp;"   |   Research cut-off: 11 October 2026"</f>
        <v>Scenario shown: Base   |   Controls: ALL 49 CHECKS PASS   |   Research cut-off: 11 October 2026</v>
      </c>
    </row>
    <row r="6" spans="1:13" x14ac:dyDescent="0.2">
      <c r="B6" s="45" t="s">
        <v>713</v>
      </c>
      <c r="C6" s="44"/>
      <c r="D6" s="45" t="s">
        <v>714</v>
      </c>
      <c r="E6" s="44"/>
      <c r="F6" s="45" t="s">
        <v>715</v>
      </c>
      <c r="G6" s="44"/>
      <c r="H6" s="43" t="s">
        <v>716</v>
      </c>
      <c r="I6" s="44"/>
      <c r="J6" s="43" t="s">
        <v>717</v>
      </c>
      <c r="K6" s="44"/>
      <c r="L6" s="45" t="s">
        <v>718</v>
      </c>
      <c r="M6" s="44"/>
    </row>
    <row r="7" spans="1:13" ht="30" customHeight="1" x14ac:dyDescent="0.2">
      <c r="B7" s="47">
        <f>Forecast!$H$22</f>
        <v>1974.666992000002</v>
      </c>
      <c r="C7" s="44"/>
      <c r="D7" s="46">
        <f>Forecast!$H$25</f>
        <v>0.44442101310328302</v>
      </c>
      <c r="E7" s="44"/>
      <c r="F7" s="48">
        <f>Forecast!$H$28</f>
        <v>43.532860940995732</v>
      </c>
      <c r="G7" s="44"/>
      <c r="H7" s="47">
        <f>Forecast!$J$22</f>
        <v>4116.078562834884</v>
      </c>
      <c r="I7" s="44"/>
      <c r="J7" s="47">
        <f>Forecast!$K$22</f>
        <v>4402.1351660841783</v>
      </c>
      <c r="K7" s="44"/>
      <c r="L7" s="46">
        <f>Forecast!$H$41</f>
        <v>0.19600000000000001</v>
      </c>
      <c r="M7" s="44"/>
    </row>
    <row r="8" spans="1:13" x14ac:dyDescent="0.2">
      <c r="B8" s="32" t="s">
        <v>719</v>
      </c>
      <c r="C8" s="33">
        <f>Forecast!$H$36</f>
        <v>0.18622345599533574</v>
      </c>
      <c r="D8" s="32" t="s">
        <v>720</v>
      </c>
      <c r="E8" s="34">
        <f>Forecast!$F$25</f>
        <v>0.47735310555511823</v>
      </c>
      <c r="F8" s="32" t="s">
        <v>721</v>
      </c>
      <c r="G8" s="35">
        <f>Variance_Analysis!E92</f>
        <v>20.977529329149441</v>
      </c>
      <c r="H8" s="32" t="s">
        <v>722</v>
      </c>
      <c r="I8" s="33">
        <f>Forecast!$J$36</f>
        <v>0.17282172689709863</v>
      </c>
      <c r="J8" s="32" t="s">
        <v>723</v>
      </c>
      <c r="K8" s="33">
        <f>Forecast!$K$36</f>
        <v>6.9497362327379131E-2</v>
      </c>
      <c r="L8" s="32" t="s">
        <v>724</v>
      </c>
      <c r="M8" s="34">
        <f>Forecast!$H$42</f>
        <v>0.152</v>
      </c>
    </row>
    <row r="64" spans="2:2" x14ac:dyDescent="0.2">
      <c r="B64" s="4" t="s">
        <v>725</v>
      </c>
    </row>
    <row r="65" spans="2:2" x14ac:dyDescent="0.2">
      <c r="B65" s="2" t="s">
        <v>726</v>
      </c>
    </row>
    <row r="66" spans="2:2" x14ac:dyDescent="0.2">
      <c r="B66" s="2" t="s">
        <v>727</v>
      </c>
    </row>
    <row r="67" spans="2:2" x14ac:dyDescent="0.2">
      <c r="B67" s="2" t="s">
        <v>728</v>
      </c>
    </row>
    <row r="68" spans="2:2" x14ac:dyDescent="0.2">
      <c r="B68" s="2" t="s">
        <v>729</v>
      </c>
    </row>
    <row r="81" spans="1:7" x14ac:dyDescent="0.2">
      <c r="A81" s="4" t="s">
        <v>730</v>
      </c>
    </row>
    <row r="82" spans="1:7" x14ac:dyDescent="0.2">
      <c r="A82" s="7"/>
      <c r="B82" s="7" t="s">
        <v>731</v>
      </c>
      <c r="C82" s="7" t="s">
        <v>566</v>
      </c>
      <c r="D82" s="7" t="s">
        <v>567</v>
      </c>
      <c r="E82" s="7" t="s">
        <v>568</v>
      </c>
      <c r="F82" s="7" t="s">
        <v>572</v>
      </c>
      <c r="G82" s="7" t="s">
        <v>488</v>
      </c>
    </row>
    <row r="83" spans="1:7" x14ac:dyDescent="0.2">
      <c r="B83" s="8" t="s">
        <v>215</v>
      </c>
      <c r="C83" s="20">
        <f>Forecast!$C$12</f>
        <v>10551.613437999998</v>
      </c>
      <c r="D83" s="20">
        <f>Forecast!$D$12</f>
        <v>11178.473352000001</v>
      </c>
      <c r="E83" s="20">
        <f>Forecast!$E$12</f>
        <v>11658.891703000001</v>
      </c>
      <c r="F83" s="20">
        <f>Forecast!$J$12</f>
        <v>16145.069829940001</v>
      </c>
      <c r="G83" s="20">
        <f>Forecast!$K$12</f>
        <v>16769.427392898804</v>
      </c>
    </row>
    <row r="84" spans="1:7" x14ac:dyDescent="0.2">
      <c r="B84" s="8" t="s">
        <v>217</v>
      </c>
      <c r="C84" s="20">
        <f>-Forecast!$C$13</f>
        <v>5019.6050399999995</v>
      </c>
      <c r="D84" s="20">
        <f>-Forecast!$D$13</f>
        <v>5278.9167360000001</v>
      </c>
      <c r="E84" s="20">
        <f>-Forecast!$E$13</f>
        <v>5582.879551</v>
      </c>
      <c r="F84" s="20">
        <f>-Forecast!$J$13</f>
        <v>7180.1625343699998</v>
      </c>
      <c r="G84" s="20">
        <f>-Forecast!$K$13</f>
        <v>7323.7657850573996</v>
      </c>
    </row>
    <row r="85" spans="1:7" x14ac:dyDescent="0.2">
      <c r="B85" s="8" t="s">
        <v>732</v>
      </c>
      <c r="C85" s="20">
        <f>Forecast!$C$22</f>
        <v>2997.5756919999985</v>
      </c>
      <c r="D85" s="20">
        <f>Forecast!$D$22</f>
        <v>3125.299253000001</v>
      </c>
      <c r="E85" s="20">
        <f>Forecast!$E$22</f>
        <v>3509.5517660000014</v>
      </c>
      <c r="F85" s="20">
        <f>Forecast!$J$22</f>
        <v>4116.078562834884</v>
      </c>
      <c r="G85" s="20">
        <f>Forecast!$K$22</f>
        <v>4402.1351660841783</v>
      </c>
    </row>
    <row r="86" spans="1:7" x14ac:dyDescent="0.2">
      <c r="B86" s="8" t="s">
        <v>221</v>
      </c>
      <c r="C86" s="17">
        <f>Forecast!$C$25</f>
        <v>0.4757191939881602</v>
      </c>
      <c r="D86" s="17">
        <f>Forecast!$D$25</f>
        <v>0.47223950621625094</v>
      </c>
      <c r="E86" s="17">
        <f>Forecast!$E$25</f>
        <v>0.47885165187386075</v>
      </c>
      <c r="F86" s="17">
        <f>Forecast!$J$25</f>
        <v>0.4447278711086679</v>
      </c>
      <c r="G86" s="17">
        <f>Forecast!$K$25</f>
        <v>0.43673320581946212</v>
      </c>
    </row>
    <row r="89" spans="1:7" x14ac:dyDescent="0.2">
      <c r="A89" s="7"/>
      <c r="B89" s="7" t="s">
        <v>732</v>
      </c>
      <c r="C89" s="7" t="s">
        <v>572</v>
      </c>
      <c r="D89" s="7" t="s">
        <v>488</v>
      </c>
    </row>
    <row r="90" spans="1:7" x14ac:dyDescent="0.2">
      <c r="B90" s="8" t="s">
        <v>433</v>
      </c>
      <c r="C90" s="20">
        <f>Scenarios!$D$22</f>
        <v>4116.078562834884</v>
      </c>
      <c r="D90" s="20">
        <f>Scenarios!$E$22</f>
        <v>4402.1351660841783</v>
      </c>
    </row>
    <row r="91" spans="1:7" x14ac:dyDescent="0.2">
      <c r="B91" s="8" t="s">
        <v>438</v>
      </c>
      <c r="C91" s="20">
        <f>Scenarios!$G$22</f>
        <v>4334.7466191119456</v>
      </c>
      <c r="D91" s="20">
        <f>Scenarios!$H$22</f>
        <v>4949.404947742024</v>
      </c>
    </row>
    <row r="92" spans="1:7" x14ac:dyDescent="0.2">
      <c r="B92" s="8" t="s">
        <v>439</v>
      </c>
      <c r="C92" s="20">
        <f>Scenarios!$J$22</f>
        <v>3616.9532850245214</v>
      </c>
      <c r="D92" s="20">
        <f>Scenarios!$K$22</f>
        <v>2897.0644332751017</v>
      </c>
    </row>
    <row r="95" spans="1:7" ht="30" x14ac:dyDescent="0.2">
      <c r="A95" s="7"/>
      <c r="B95" s="7" t="s">
        <v>733</v>
      </c>
      <c r="C95" s="7" t="s">
        <v>261</v>
      </c>
      <c r="D95" s="7" t="s">
        <v>135</v>
      </c>
      <c r="E95" s="7" t="s">
        <v>734</v>
      </c>
      <c r="F95" s="7" t="s">
        <v>735</v>
      </c>
    </row>
    <row r="96" spans="1:7" x14ac:dyDescent="0.2">
      <c r="B96" s="8" t="s">
        <v>736</v>
      </c>
      <c r="C96" s="17">
        <f>Forecast!$D$32</f>
        <v>5.9408915772299231E-2</v>
      </c>
      <c r="D96" s="17">
        <f>Forecast!$E$32</f>
        <v>4.297709856006815E-2</v>
      </c>
      <c r="E96" s="17">
        <f>Forecast!$H$32</f>
        <v>0.40404807073318083</v>
      </c>
      <c r="F96" s="17">
        <f>Variance_Analysis!E74/Variance_Analysis!F74-1</f>
        <v>8.2843148464072813E-2</v>
      </c>
    </row>
    <row r="97" spans="1:6" x14ac:dyDescent="0.2">
      <c r="B97" s="8" t="s">
        <v>737</v>
      </c>
      <c r="C97" s="17">
        <f>Forecast!$D$33</f>
        <v>5.165978078625888E-2</v>
      </c>
      <c r="D97" s="17">
        <f>Forecast!$E$33</f>
        <v>5.7580528392709995E-2</v>
      </c>
      <c r="E97" s="17">
        <f>Forecast!$H$33</f>
        <v>0.30718425999409482</v>
      </c>
      <c r="F97" s="17">
        <f>Variance_Analysis!E75/Variance_Analysis!F75-1</f>
        <v>3.4443268265628824E-2</v>
      </c>
    </row>
    <row r="100" spans="1:6" x14ac:dyDescent="0.2">
      <c r="A100" s="7"/>
      <c r="B100" s="7" t="s">
        <v>263</v>
      </c>
      <c r="C100" s="7" t="s">
        <v>738</v>
      </c>
      <c r="D100" s="7" t="s">
        <v>739</v>
      </c>
      <c r="E100" s="7" t="s">
        <v>480</v>
      </c>
    </row>
    <row r="101" spans="1:6" x14ac:dyDescent="0.2">
      <c r="B101" s="8" t="s">
        <v>219</v>
      </c>
      <c r="C101" s="20">
        <f>Forecast!$F$14</f>
        <v>2962.5797459999999</v>
      </c>
      <c r="D101" s="20">
        <f>Variance_Analysis!E109</f>
        <v>4263.4399999999996</v>
      </c>
      <c r="E101" s="20">
        <f>Forecast!$H$14</f>
        <v>4421.7019370000016</v>
      </c>
    </row>
    <row r="102" spans="1:6" x14ac:dyDescent="0.2">
      <c r="B102" s="8" t="s">
        <v>732</v>
      </c>
      <c r="C102" s="20">
        <f>Forecast!$F$22</f>
        <v>1664.6669579999998</v>
      </c>
      <c r="D102" s="20">
        <f>Variance_Analysis!E117</f>
        <v>1797.3378179999995</v>
      </c>
      <c r="E102" s="20">
        <f>Forecast!$H$22</f>
        <v>1974.666992000002</v>
      </c>
    </row>
  </sheetData>
  <mergeCells count="12">
    <mergeCell ref="J6:K6"/>
    <mergeCell ref="L6:M6"/>
    <mergeCell ref="H7:I7"/>
    <mergeCell ref="L7:M7"/>
    <mergeCell ref="J7:K7"/>
    <mergeCell ref="D6:E6"/>
    <mergeCell ref="B6:C6"/>
    <mergeCell ref="D7:E7"/>
    <mergeCell ref="B7:C7"/>
    <mergeCell ref="H6:I6"/>
    <mergeCell ref="F6:G6"/>
    <mergeCell ref="F7:G7"/>
  </mergeCells>
  <pageMargins left="0.75" right="0.75" top="1" bottom="1" header="0.5" footer="0.5"/>
  <pageSetup orientation="landscape"/>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111"/>
  <sheetViews>
    <sheetView showGridLines="0" workbookViewId="0">
      <pane xSplit="3" ySplit="6" topLeftCell="D7" activePane="bottomRight" state="frozen"/>
      <selection pane="topRight"/>
      <selection pane="bottomLeft"/>
      <selection pane="bottomRight"/>
    </sheetView>
  </sheetViews>
  <sheetFormatPr baseColWidth="10" defaultColWidth="8.83203125" defaultRowHeight="15" x14ac:dyDescent="0.2"/>
  <cols>
    <col min="1" max="1" width="16" customWidth="1"/>
    <col min="2" max="2" width="22" customWidth="1"/>
    <col min="3" max="3" width="95" customWidth="1"/>
    <col min="4" max="5" width="14" customWidth="1"/>
    <col min="6" max="6" width="12" customWidth="1"/>
    <col min="7" max="8" width="11" customWidth="1"/>
    <col min="9" max="9" width="70" customWidth="1"/>
    <col min="10" max="17" width="11" customWidth="1"/>
  </cols>
  <sheetData>
    <row r="1" spans="1:9" ht="19" x14ac:dyDescent="0.25">
      <c r="A1" s="1" t="s">
        <v>740</v>
      </c>
    </row>
    <row r="2" spans="1:9" x14ac:dyDescent="0.2">
      <c r="A2" s="2" t="s">
        <v>741</v>
      </c>
    </row>
    <row r="3" spans="1:9" x14ac:dyDescent="0.2">
      <c r="A3" s="3" t="s">
        <v>742</v>
      </c>
    </row>
    <row r="4" spans="1:9" x14ac:dyDescent="0.2">
      <c r="A4" s="4" t="s">
        <v>743</v>
      </c>
      <c r="B4" s="4" t="str">
        <f>IF(COUNTIF(tblChecks[Status],"FAIL")=0,"ALL "&amp;COUNTA(tblChecks[ID])&amp;" CHECKS PASS",COUNTIF(tblChecks[Status],"FAIL")&amp;" OF "&amp;COUNTA(tblChecks[ID])&amp;" CHECKS FAIL")</f>
        <v>ALL 49 CHECKS PASS</v>
      </c>
    </row>
    <row r="6" spans="1:9" x14ac:dyDescent="0.2">
      <c r="A6" s="7" t="s">
        <v>280</v>
      </c>
      <c r="B6" s="7" t="s">
        <v>744</v>
      </c>
      <c r="C6" s="7" t="s">
        <v>745</v>
      </c>
      <c r="D6" s="7" t="s">
        <v>746</v>
      </c>
      <c r="E6" s="7" t="s">
        <v>747</v>
      </c>
      <c r="F6" s="7" t="s">
        <v>748</v>
      </c>
      <c r="G6" s="7" t="s">
        <v>749</v>
      </c>
      <c r="H6" s="7" t="s">
        <v>750</v>
      </c>
      <c r="I6" s="7" t="s">
        <v>690</v>
      </c>
    </row>
    <row r="7" spans="1:9" x14ac:dyDescent="0.2">
      <c r="A7" s="4" t="s">
        <v>751</v>
      </c>
      <c r="B7" s="8" t="s">
        <v>752</v>
      </c>
      <c r="C7" s="8" t="s">
        <v>753</v>
      </c>
      <c r="D7" s="36">
        <f>SUMPRODUCT(--(ABS(D73:D85)&gt;0.6))</f>
        <v>0</v>
      </c>
      <c r="E7" s="36">
        <v>0</v>
      </c>
      <c r="F7" s="37">
        <f t="shared" ref="F7:F38" si="0">D7-E7</f>
        <v>0</v>
      </c>
      <c r="G7" s="38">
        <v>0</v>
      </c>
      <c r="H7" s="39" t="str">
        <f t="shared" ref="H7:H38" si="1">IFERROR(IF(ABS(F7)&lt;=G7,"PASS","FAIL"),"FAIL")</f>
        <v>PASS</v>
      </c>
      <c r="I7" s="2" t="s">
        <v>754</v>
      </c>
    </row>
    <row r="8" spans="1:9" x14ac:dyDescent="0.2">
      <c r="A8" s="4" t="s">
        <v>755</v>
      </c>
      <c r="B8" s="8" t="s">
        <v>752</v>
      </c>
      <c r="C8" s="8" t="s">
        <v>756</v>
      </c>
      <c r="D8" s="36">
        <f>SUMPRODUCT(--(ABS(E73:E85)&gt;0.6))</f>
        <v>0</v>
      </c>
      <c r="E8" s="36">
        <v>0</v>
      </c>
      <c r="F8" s="37">
        <f t="shared" si="0"/>
        <v>0</v>
      </c>
      <c r="G8" s="38">
        <v>0</v>
      </c>
      <c r="H8" s="39" t="str">
        <f t="shared" si="1"/>
        <v>PASS</v>
      </c>
      <c r="I8" s="2" t="s">
        <v>754</v>
      </c>
    </row>
    <row r="9" spans="1:9" x14ac:dyDescent="0.2">
      <c r="A9" s="4" t="s">
        <v>757</v>
      </c>
      <c r="B9" s="8" t="s">
        <v>752</v>
      </c>
      <c r="C9" s="8" t="s">
        <v>758</v>
      </c>
      <c r="D9" s="36">
        <f>SUMPRODUCT(--(ABS(F73:F85)&gt;0.6))</f>
        <v>0</v>
      </c>
      <c r="E9" s="36">
        <v>0</v>
      </c>
      <c r="F9" s="37">
        <f t="shared" si="0"/>
        <v>0</v>
      </c>
      <c r="G9" s="38">
        <v>0</v>
      </c>
      <c r="H9" s="39" t="str">
        <f t="shared" si="1"/>
        <v>PASS</v>
      </c>
      <c r="I9" s="2" t="s">
        <v>754</v>
      </c>
    </row>
    <row r="10" spans="1:9" x14ac:dyDescent="0.2">
      <c r="A10" s="4" t="s">
        <v>759</v>
      </c>
      <c r="B10" s="8" t="s">
        <v>752</v>
      </c>
      <c r="C10" s="8" t="s">
        <v>760</v>
      </c>
      <c r="D10" s="36">
        <f>SUMPRODUCT(--(ABS(G73:G85)&gt;0.6))</f>
        <v>0</v>
      </c>
      <c r="E10" s="36">
        <v>0</v>
      </c>
      <c r="F10" s="37">
        <f t="shared" si="0"/>
        <v>0</v>
      </c>
      <c r="G10" s="38">
        <v>0</v>
      </c>
      <c r="H10" s="39" t="str">
        <f t="shared" si="1"/>
        <v>PASS</v>
      </c>
      <c r="I10" s="2" t="s">
        <v>754</v>
      </c>
    </row>
    <row r="11" spans="1:9" x14ac:dyDescent="0.2">
      <c r="A11" s="4" t="s">
        <v>761</v>
      </c>
      <c r="B11" s="8" t="s">
        <v>752</v>
      </c>
      <c r="C11" s="8" t="s">
        <v>762</v>
      </c>
      <c r="D11" s="36">
        <f>SUMPRODUCT(--(ABS(H73:H85)&gt;0.6))</f>
        <v>0</v>
      </c>
      <c r="E11" s="36">
        <v>0</v>
      </c>
      <c r="F11" s="37">
        <f t="shared" si="0"/>
        <v>0</v>
      </c>
      <c r="G11" s="38">
        <v>0</v>
      </c>
      <c r="H11" s="39" t="str">
        <f t="shared" si="1"/>
        <v>PASS</v>
      </c>
      <c r="I11" s="2" t="s">
        <v>754</v>
      </c>
    </row>
    <row r="12" spans="1:9" x14ac:dyDescent="0.2">
      <c r="A12" s="4" t="s">
        <v>763</v>
      </c>
      <c r="B12" s="8" t="s">
        <v>764</v>
      </c>
      <c r="C12" s="8" t="s">
        <v>765</v>
      </c>
      <c r="D12" s="36">
        <f t="shared" ref="D12:D18" si="2">SUMPRODUCT(--(ABS(D91:Q91)&gt;0.01))</f>
        <v>0</v>
      </c>
      <c r="E12" s="36">
        <v>0</v>
      </c>
      <c r="F12" s="37">
        <f t="shared" si="0"/>
        <v>0</v>
      </c>
      <c r="G12" s="38">
        <v>0</v>
      </c>
      <c r="H12" s="39" t="str">
        <f t="shared" si="1"/>
        <v>PASS</v>
      </c>
      <c r="I12" s="2" t="s">
        <v>766</v>
      </c>
    </row>
    <row r="13" spans="1:9" x14ac:dyDescent="0.2">
      <c r="A13" s="4" t="s">
        <v>767</v>
      </c>
      <c r="B13" s="8" t="s">
        <v>764</v>
      </c>
      <c r="C13" s="8" t="s">
        <v>768</v>
      </c>
      <c r="D13" s="36">
        <f t="shared" si="2"/>
        <v>0</v>
      </c>
      <c r="E13" s="36">
        <v>0</v>
      </c>
      <c r="F13" s="37">
        <f t="shared" si="0"/>
        <v>0</v>
      </c>
      <c r="G13" s="38">
        <v>0</v>
      </c>
      <c r="H13" s="39" t="str">
        <f t="shared" si="1"/>
        <v>PASS</v>
      </c>
      <c r="I13" s="2" t="s">
        <v>766</v>
      </c>
    </row>
    <row r="14" spans="1:9" x14ac:dyDescent="0.2">
      <c r="A14" s="4" t="s">
        <v>769</v>
      </c>
      <c r="B14" s="8" t="s">
        <v>764</v>
      </c>
      <c r="C14" s="8" t="s">
        <v>770</v>
      </c>
      <c r="D14" s="36">
        <f t="shared" si="2"/>
        <v>0</v>
      </c>
      <c r="E14" s="36">
        <v>0</v>
      </c>
      <c r="F14" s="37">
        <f t="shared" si="0"/>
        <v>0</v>
      </c>
      <c r="G14" s="38">
        <v>0</v>
      </c>
      <c r="H14" s="39" t="str">
        <f t="shared" si="1"/>
        <v>PASS</v>
      </c>
      <c r="I14" s="2" t="s">
        <v>766</v>
      </c>
    </row>
    <row r="15" spans="1:9" x14ac:dyDescent="0.2">
      <c r="A15" s="4" t="s">
        <v>771</v>
      </c>
      <c r="B15" s="8" t="s">
        <v>764</v>
      </c>
      <c r="C15" s="8" t="s">
        <v>772</v>
      </c>
      <c r="D15" s="36">
        <f t="shared" si="2"/>
        <v>0</v>
      </c>
      <c r="E15" s="36">
        <v>0</v>
      </c>
      <c r="F15" s="37">
        <f t="shared" si="0"/>
        <v>0</v>
      </c>
      <c r="G15" s="38">
        <v>0</v>
      </c>
      <c r="H15" s="39" t="str">
        <f t="shared" si="1"/>
        <v>PASS</v>
      </c>
      <c r="I15" s="2" t="s">
        <v>766</v>
      </c>
    </row>
    <row r="16" spans="1:9" x14ac:dyDescent="0.2">
      <c r="A16" s="4" t="s">
        <v>773</v>
      </c>
      <c r="B16" s="8" t="s">
        <v>764</v>
      </c>
      <c r="C16" s="8" t="s">
        <v>774</v>
      </c>
      <c r="D16" s="36">
        <f t="shared" si="2"/>
        <v>0</v>
      </c>
      <c r="E16" s="36">
        <v>0</v>
      </c>
      <c r="F16" s="37">
        <f t="shared" si="0"/>
        <v>0</v>
      </c>
      <c r="G16" s="38">
        <v>0</v>
      </c>
      <c r="H16" s="39" t="str">
        <f t="shared" si="1"/>
        <v>PASS</v>
      </c>
      <c r="I16" s="2" t="s">
        <v>766</v>
      </c>
    </row>
    <row r="17" spans="1:9" x14ac:dyDescent="0.2">
      <c r="A17" s="4" t="s">
        <v>775</v>
      </c>
      <c r="B17" s="8" t="s">
        <v>764</v>
      </c>
      <c r="C17" s="8" t="s">
        <v>776</v>
      </c>
      <c r="D17" s="36">
        <f t="shared" si="2"/>
        <v>0</v>
      </c>
      <c r="E17" s="36">
        <v>0</v>
      </c>
      <c r="F17" s="37">
        <f t="shared" si="0"/>
        <v>0</v>
      </c>
      <c r="G17" s="38">
        <v>0</v>
      </c>
      <c r="H17" s="39" t="str">
        <f t="shared" si="1"/>
        <v>PASS</v>
      </c>
      <c r="I17" s="2" t="s">
        <v>766</v>
      </c>
    </row>
    <row r="18" spans="1:9" x14ac:dyDescent="0.2">
      <c r="A18" s="4" t="s">
        <v>777</v>
      </c>
      <c r="B18" s="8" t="s">
        <v>764</v>
      </c>
      <c r="C18" s="8" t="s">
        <v>778</v>
      </c>
      <c r="D18" s="36">
        <f t="shared" si="2"/>
        <v>0</v>
      </c>
      <c r="E18" s="36">
        <v>0</v>
      </c>
      <c r="F18" s="37">
        <f t="shared" si="0"/>
        <v>0</v>
      </c>
      <c r="G18" s="38">
        <v>0</v>
      </c>
      <c r="H18" s="39" t="str">
        <f t="shared" si="1"/>
        <v>PASS</v>
      </c>
      <c r="I18" s="2" t="s">
        <v>766</v>
      </c>
    </row>
    <row r="19" spans="1:9" x14ac:dyDescent="0.2">
      <c r="A19" s="4" t="s">
        <v>779</v>
      </c>
      <c r="B19" s="8" t="s">
        <v>780</v>
      </c>
      <c r="C19" s="8" t="s">
        <v>781</v>
      </c>
      <c r="D19" s="36">
        <f>Forecast!$C$25</f>
        <v>0.4757191939881602</v>
      </c>
      <c r="E19" s="36">
        <f>INDEX(tblRep[FY2023],MATCH("REP_CIR",tblRep[Code],0))</f>
        <v>0.47599999999999998</v>
      </c>
      <c r="F19" s="37">
        <f t="shared" si="0"/>
        <v>-2.8080601183977372E-4</v>
      </c>
      <c r="G19" s="38">
        <v>5.9999999999999995E-4</v>
      </c>
      <c r="H19" s="39" t="str">
        <f t="shared" si="1"/>
        <v>PASS</v>
      </c>
      <c r="I19" s="2" t="s">
        <v>782</v>
      </c>
    </row>
    <row r="20" spans="1:9" x14ac:dyDescent="0.2">
      <c r="A20" s="4" t="s">
        <v>783</v>
      </c>
      <c r="B20" s="8" t="s">
        <v>780</v>
      </c>
      <c r="C20" s="8" t="s">
        <v>784</v>
      </c>
      <c r="D20" s="36">
        <f>Forecast!$D$25</f>
        <v>0.47223950621625094</v>
      </c>
      <c r="E20" s="36">
        <f>INDEX(tblRep[FY2024],MATCH("REP_CIR",tblRep[Code],0))</f>
        <v>0.47199999999999998</v>
      </c>
      <c r="F20" s="37">
        <f t="shared" si="0"/>
        <v>2.3950621625096202E-4</v>
      </c>
      <c r="G20" s="38">
        <v>5.9999999999999995E-4</v>
      </c>
      <c r="H20" s="39" t="str">
        <f t="shared" si="1"/>
        <v>PASS</v>
      </c>
      <c r="I20" s="2" t="s">
        <v>782</v>
      </c>
    </row>
    <row r="21" spans="1:9" x14ac:dyDescent="0.2">
      <c r="A21" s="4" t="s">
        <v>785</v>
      </c>
      <c r="B21" s="8" t="s">
        <v>780</v>
      </c>
      <c r="C21" s="8" t="s">
        <v>786</v>
      </c>
      <c r="D21" s="36">
        <f>Forecast!$E$25</f>
        <v>0.47885165187386075</v>
      </c>
      <c r="E21" s="36">
        <f>INDEX(tblRep[FY2025],MATCH("REP_CIR",tblRep[Code],0))</f>
        <v>0.47899999999999998</v>
      </c>
      <c r="F21" s="37">
        <f t="shared" si="0"/>
        <v>-1.4834812613923054E-4</v>
      </c>
      <c r="G21" s="38">
        <v>5.9999999999999995E-4</v>
      </c>
      <c r="H21" s="39" t="str">
        <f t="shared" si="1"/>
        <v>PASS</v>
      </c>
      <c r="I21" s="2" t="s">
        <v>782</v>
      </c>
    </row>
    <row r="22" spans="1:9" x14ac:dyDescent="0.2">
      <c r="A22" s="4" t="s">
        <v>787</v>
      </c>
      <c r="B22" s="8" t="s">
        <v>780</v>
      </c>
      <c r="C22" s="8" t="s">
        <v>788</v>
      </c>
      <c r="D22" s="36">
        <f>Forecast!$F$25</f>
        <v>0.47735310555511823</v>
      </c>
      <c r="E22" s="36">
        <f>INDEX(tblRep[H1 2025],MATCH("REP_CIR",tblRep[Code],0))</f>
        <v>0.47739999999999999</v>
      </c>
      <c r="F22" s="37">
        <f t="shared" si="0"/>
        <v>-4.6894444881762087E-5</v>
      </c>
      <c r="G22" s="38">
        <v>1E-4</v>
      </c>
      <c r="H22" s="39" t="str">
        <f t="shared" si="1"/>
        <v>PASS</v>
      </c>
      <c r="I22" s="2" t="s">
        <v>782</v>
      </c>
    </row>
    <row r="23" spans="1:9" x14ac:dyDescent="0.2">
      <c r="A23" s="4" t="s">
        <v>789</v>
      </c>
      <c r="B23" s="8" t="s">
        <v>780</v>
      </c>
      <c r="C23" s="8" t="s">
        <v>790</v>
      </c>
      <c r="D23" s="36">
        <f>Forecast!$H$25</f>
        <v>0.44442101310328302</v>
      </c>
      <c r="E23" s="36">
        <f>INDEX(tblRep[H1 2026],MATCH("REP_CIR",tblRep[Code],0))</f>
        <v>0.44440000000000002</v>
      </c>
      <c r="F23" s="37">
        <f t="shared" si="0"/>
        <v>2.1013103283007428E-5</v>
      </c>
      <c r="G23" s="38">
        <v>1E-4</v>
      </c>
      <c r="H23" s="39" t="str">
        <f t="shared" si="1"/>
        <v>PASS</v>
      </c>
      <c r="I23" s="2" t="s">
        <v>782</v>
      </c>
    </row>
    <row r="24" spans="1:9" x14ac:dyDescent="0.2">
      <c r="A24" s="4" t="s">
        <v>791</v>
      </c>
      <c r="B24" s="8" t="s">
        <v>780</v>
      </c>
      <c r="C24" s="8" t="s">
        <v>792</v>
      </c>
      <c r="D24" s="36">
        <f>Forecast!$D$28</f>
        <v>18.392095475491764</v>
      </c>
      <c r="E24" s="36">
        <f>INDEX(tblRep[FY2024],MATCH("REP_PROV_RATIO",tblRep[Code],0))*10000</f>
        <v>18</v>
      </c>
      <c r="F24" s="37">
        <f t="shared" si="0"/>
        <v>0.39209547549176449</v>
      </c>
      <c r="G24" s="38">
        <v>1</v>
      </c>
      <c r="H24" s="39" t="str">
        <f t="shared" si="1"/>
        <v>PASS</v>
      </c>
      <c r="I24" s="2" t="s">
        <v>793</v>
      </c>
    </row>
    <row r="25" spans="1:9" x14ac:dyDescent="0.2">
      <c r="A25" s="4" t="s">
        <v>794</v>
      </c>
      <c r="B25" s="8" t="s">
        <v>780</v>
      </c>
      <c r="C25" s="8" t="s">
        <v>795</v>
      </c>
      <c r="D25" s="36">
        <f>Forecast!$E$28</f>
        <v>20.900100865186936</v>
      </c>
      <c r="E25" s="36">
        <f>INDEX(tblRep[FY2025],MATCH("REP_PROV_RATIO",tblRep[Code],0))*10000</f>
        <v>21</v>
      </c>
      <c r="F25" s="37">
        <f t="shared" si="0"/>
        <v>-9.989913481306445E-2</v>
      </c>
      <c r="G25" s="38">
        <v>1</v>
      </c>
      <c r="H25" s="39" t="str">
        <f t="shared" si="1"/>
        <v>PASS</v>
      </c>
      <c r="I25" s="2" t="s">
        <v>793</v>
      </c>
    </row>
    <row r="26" spans="1:9" x14ac:dyDescent="0.2">
      <c r="A26" s="4" t="s">
        <v>796</v>
      </c>
      <c r="B26" s="8" t="s">
        <v>780</v>
      </c>
      <c r="C26" s="8" t="s">
        <v>797</v>
      </c>
      <c r="D26" s="36">
        <f>Forecast!$F$28</f>
        <v>16.183720500426301</v>
      </c>
      <c r="E26" s="36">
        <f>INDEX(tblRep[H1 2025],MATCH("REP_PROV_RATIO",tblRep[Code],0))*10000</f>
        <v>16</v>
      </c>
      <c r="F26" s="37">
        <f t="shared" si="0"/>
        <v>0.1837205004263005</v>
      </c>
      <c r="G26" s="38">
        <v>1</v>
      </c>
      <c r="H26" s="39" t="str">
        <f t="shared" si="1"/>
        <v>PASS</v>
      </c>
      <c r="I26" s="2" t="s">
        <v>793</v>
      </c>
    </row>
    <row r="27" spans="1:9" x14ac:dyDescent="0.2">
      <c r="A27" s="4" t="s">
        <v>798</v>
      </c>
      <c r="B27" s="8" t="s">
        <v>780</v>
      </c>
      <c r="C27" s="8" t="s">
        <v>799</v>
      </c>
      <c r="D27" s="36">
        <f>Forecast!$H$28</f>
        <v>43.532860940995732</v>
      </c>
      <c r="E27" s="36">
        <f>INDEX(tblRep[H1 2026],MATCH("REP_PROV_RATIO",tblRep[Code],0))*10000</f>
        <v>44</v>
      </c>
      <c r="F27" s="37">
        <f t="shared" si="0"/>
        <v>-0.46713905900426766</v>
      </c>
      <c r="G27" s="38">
        <v>1</v>
      </c>
      <c r="H27" s="39" t="str">
        <f t="shared" si="1"/>
        <v>PASS</v>
      </c>
      <c r="I27" s="2" t="s">
        <v>793</v>
      </c>
    </row>
    <row r="28" spans="1:9" x14ac:dyDescent="0.2">
      <c r="A28" s="4" t="s">
        <v>800</v>
      </c>
      <c r="B28" s="8" t="s">
        <v>780</v>
      </c>
      <c r="C28" s="8" t="s">
        <v>801</v>
      </c>
      <c r="D28" s="36">
        <f>Forecast!$C$30</f>
        <v>0.18231261440819213</v>
      </c>
      <c r="E28" s="36">
        <f>INDEX(tblRep[FY2023],MATCH("REP_TAX_RATE",tblRep[Code],0))</f>
        <v>0.182</v>
      </c>
      <c r="F28" s="37">
        <f t="shared" si="0"/>
        <v>3.126144081921356E-4</v>
      </c>
      <c r="G28" s="38">
        <v>5.9999999999999995E-4</v>
      </c>
      <c r="H28" s="39" t="str">
        <f t="shared" si="1"/>
        <v>PASS</v>
      </c>
      <c r="I28" s="2" t="s">
        <v>802</v>
      </c>
    </row>
    <row r="29" spans="1:9" x14ac:dyDescent="0.2">
      <c r="A29" s="4" t="s">
        <v>803</v>
      </c>
      <c r="B29" s="8" t="s">
        <v>780</v>
      </c>
      <c r="C29" s="8" t="s">
        <v>804</v>
      </c>
      <c r="D29" s="36">
        <f>Forecast!$D$30</f>
        <v>0.21062304587078731</v>
      </c>
      <c r="E29" s="36">
        <f>INDEX(tblRep[FY2024],MATCH("REP_TAX_RATE",tblRep[Code],0))</f>
        <v>0.21099999999999999</v>
      </c>
      <c r="F29" s="37">
        <f t="shared" si="0"/>
        <v>-3.7695412921268101E-4</v>
      </c>
      <c r="G29" s="38">
        <v>5.9999999999999995E-4</v>
      </c>
      <c r="H29" s="39" t="str">
        <f t="shared" si="1"/>
        <v>PASS</v>
      </c>
      <c r="I29" s="2" t="s">
        <v>802</v>
      </c>
    </row>
    <row r="30" spans="1:9" x14ac:dyDescent="0.2">
      <c r="A30" s="4" t="s">
        <v>805</v>
      </c>
      <c r="B30" s="8" t="s">
        <v>780</v>
      </c>
      <c r="C30" s="8" t="s">
        <v>806</v>
      </c>
      <c r="D30" s="36">
        <f>Forecast!$E$30</f>
        <v>0.20421831843652832</v>
      </c>
      <c r="E30" s="36">
        <f>INDEX(tblRep[FY2025],MATCH("REP_TAX_RATE",tblRep[Code],0))</f>
        <v>0.20399999999999999</v>
      </c>
      <c r="F30" s="37">
        <f t="shared" si="0"/>
        <v>2.1831843652833638E-4</v>
      </c>
      <c r="G30" s="38">
        <v>5.9999999999999995E-4</v>
      </c>
      <c r="H30" s="39" t="str">
        <f t="shared" si="1"/>
        <v>PASS</v>
      </c>
      <c r="I30" s="2" t="s">
        <v>802</v>
      </c>
    </row>
    <row r="31" spans="1:9" x14ac:dyDescent="0.2">
      <c r="A31" s="4" t="s">
        <v>807</v>
      </c>
      <c r="B31" s="8" t="s">
        <v>780</v>
      </c>
      <c r="C31" s="8" t="s">
        <v>808</v>
      </c>
      <c r="D31" s="36">
        <f>Forecast!$H$30</f>
        <v>0.23999999994294527</v>
      </c>
      <c r="E31" s="36">
        <f>INDEX(tblRep[H1 2026],MATCH("REP_TAX_RATE",tblRep[Code],0))</f>
        <v>0.24</v>
      </c>
      <c r="F31" s="37">
        <f t="shared" si="0"/>
        <v>-5.7054722057969798E-11</v>
      </c>
      <c r="G31" s="38">
        <v>5.9999999999999995E-4</v>
      </c>
      <c r="H31" s="39" t="str">
        <f t="shared" si="1"/>
        <v>PASS</v>
      </c>
      <c r="I31" s="2" t="s">
        <v>802</v>
      </c>
    </row>
    <row r="32" spans="1:9" x14ac:dyDescent="0.2">
      <c r="A32" s="4" t="s">
        <v>809</v>
      </c>
      <c r="B32" s="8" t="s">
        <v>780</v>
      </c>
      <c r="C32" s="8" t="s">
        <v>810</v>
      </c>
      <c r="D32" s="36">
        <f>D109</f>
        <v>0.16265552750152101</v>
      </c>
      <c r="E32" s="36">
        <f>D110</f>
        <v>0.16300000000000001</v>
      </c>
      <c r="F32" s="37">
        <f t="shared" si="0"/>
        <v>-3.4447249847899264E-4</v>
      </c>
      <c r="G32" s="38">
        <v>5.0000000000000001E-3</v>
      </c>
      <c r="H32" s="39" t="str">
        <f t="shared" si="1"/>
        <v>PASS</v>
      </c>
      <c r="I32" s="2" t="s">
        <v>811</v>
      </c>
    </row>
    <row r="33" spans="1:9" x14ac:dyDescent="0.2">
      <c r="A33" s="4" t="s">
        <v>812</v>
      </c>
      <c r="B33" s="8" t="s">
        <v>780</v>
      </c>
      <c r="C33" s="8" t="s">
        <v>813</v>
      </c>
      <c r="D33" s="36">
        <f>E109</f>
        <v>0.16769209250625389</v>
      </c>
      <c r="E33" s="36">
        <f>E110</f>
        <v>0.16600000000000001</v>
      </c>
      <c r="F33" s="37">
        <f t="shared" si="0"/>
        <v>1.6920925062538783E-3</v>
      </c>
      <c r="G33" s="38">
        <v>5.0000000000000001E-3</v>
      </c>
      <c r="H33" s="39" t="str">
        <f t="shared" si="1"/>
        <v>PASS</v>
      </c>
      <c r="I33" s="2" t="s">
        <v>811</v>
      </c>
    </row>
    <row r="34" spans="1:9" x14ac:dyDescent="0.2">
      <c r="A34" s="4" t="s">
        <v>814</v>
      </c>
      <c r="B34" s="8" t="s">
        <v>780</v>
      </c>
      <c r="C34" s="8" t="s">
        <v>815</v>
      </c>
      <c r="D34" s="36">
        <f>F109</f>
        <v>0.16441366068193322</v>
      </c>
      <c r="E34" s="36">
        <f>F110</f>
        <v>0.16300000000000001</v>
      </c>
      <c r="F34" s="37">
        <f t="shared" si="0"/>
        <v>1.4136606819332154E-3</v>
      </c>
      <c r="G34" s="38">
        <v>5.0000000000000001E-3</v>
      </c>
      <c r="H34" s="39" t="str">
        <f t="shared" si="1"/>
        <v>PASS</v>
      </c>
      <c r="I34" s="2" t="s">
        <v>811</v>
      </c>
    </row>
    <row r="35" spans="1:9" x14ac:dyDescent="0.2">
      <c r="A35" s="4" t="s">
        <v>816</v>
      </c>
      <c r="B35" s="8" t="s">
        <v>780</v>
      </c>
      <c r="C35" s="8" t="s">
        <v>817</v>
      </c>
      <c r="D35" s="36">
        <f>G109</f>
        <v>0.19855818831420458</v>
      </c>
      <c r="E35" s="36">
        <f>G110</f>
        <v>0.19600000000000001</v>
      </c>
      <c r="F35" s="37">
        <f t="shared" si="0"/>
        <v>2.558188314204568E-3</v>
      </c>
      <c r="G35" s="38">
        <v>5.0000000000000001E-3</v>
      </c>
      <c r="H35" s="39" t="str">
        <f t="shared" si="1"/>
        <v>PASS</v>
      </c>
      <c r="I35" s="2" t="s">
        <v>811</v>
      </c>
    </row>
    <row r="36" spans="1:9" x14ac:dyDescent="0.2">
      <c r="A36" s="4" t="s">
        <v>818</v>
      </c>
      <c r="B36" s="8" t="s">
        <v>819</v>
      </c>
      <c r="C36" s="8" t="s">
        <v>820</v>
      </c>
      <c r="D36" s="36">
        <f>SUM(INDEX(tblPoland[[Q1 26]:[Q2 26]],MATCH("REP_OP_INCOME",tblPoland[Code],0),0))</f>
        <v>1820.722953</v>
      </c>
      <c r="E36" s="36">
        <f>Reported_Actuals!$D$125</f>
        <v>1821</v>
      </c>
      <c r="F36" s="37">
        <f t="shared" si="0"/>
        <v>-0.27704700000003868</v>
      </c>
      <c r="G36" s="38">
        <v>0.6</v>
      </c>
      <c r="H36" s="39" t="str">
        <f t="shared" si="1"/>
        <v>PASS</v>
      </c>
      <c r="I36" s="2" t="s">
        <v>821</v>
      </c>
    </row>
    <row r="37" spans="1:9" x14ac:dyDescent="0.2">
      <c r="A37" s="4" t="s">
        <v>822</v>
      </c>
      <c r="B37" s="8" t="s">
        <v>819</v>
      </c>
      <c r="C37" s="8" t="s">
        <v>823</v>
      </c>
      <c r="D37" s="36">
        <f>SUM(INDEX(tblPoland[[Q1 26]:[Q2 26]],MATCH("NII",tblPoland[Code],0),0))</f>
        <v>1369.984545</v>
      </c>
      <c r="E37" s="36">
        <f>Reported_Actuals!$D$126</f>
        <v>1370</v>
      </c>
      <c r="F37" s="37">
        <f t="shared" si="0"/>
        <v>-1.5454999999974461E-2</v>
      </c>
      <c r="G37" s="38">
        <v>0.6</v>
      </c>
      <c r="H37" s="39" t="str">
        <f t="shared" si="1"/>
        <v>PASS</v>
      </c>
      <c r="I37" s="2"/>
    </row>
    <row r="38" spans="1:9" x14ac:dyDescent="0.2">
      <c r="A38" s="4" t="s">
        <v>824</v>
      </c>
      <c r="B38" s="8" t="s">
        <v>819</v>
      </c>
      <c r="C38" s="8" t="s">
        <v>825</v>
      </c>
      <c r="D38" s="36">
        <f>-SUM(INDEX(tblPoland[[Q1 26]:[Q2 26]],MATCH("OPEX",tblPoland[Code],0),0))</f>
        <v>737.99232099999995</v>
      </c>
      <c r="E38" s="36">
        <f>Reported_Actuals!$D$128</f>
        <v>738</v>
      </c>
      <c r="F38" s="37">
        <f t="shared" si="0"/>
        <v>-7.679000000052838E-3</v>
      </c>
      <c r="G38" s="38">
        <v>0.6</v>
      </c>
      <c r="H38" s="39" t="str">
        <f t="shared" si="1"/>
        <v>PASS</v>
      </c>
      <c r="I38" s="2"/>
    </row>
    <row r="39" spans="1:9" x14ac:dyDescent="0.2">
      <c r="A39" s="4" t="s">
        <v>826</v>
      </c>
      <c r="B39" s="8" t="s">
        <v>819</v>
      </c>
      <c r="C39" s="8" t="s">
        <v>827</v>
      </c>
      <c r="D39" s="36">
        <f>Variance_Analysis!D80</f>
        <v>600.08196199999986</v>
      </c>
      <c r="E39" s="36">
        <f>SUM(INDEX(tblPoland[[Q1 26]:[Q2 26]],MATCH("PRETAX",tblPoland[Code],0),0))</f>
        <v>600.08196199999998</v>
      </c>
      <c r="F39" s="37">
        <f t="shared" ref="F39:F70" si="3">D39-E39</f>
        <v>0</v>
      </c>
      <c r="G39" s="38">
        <v>0.01</v>
      </c>
      <c r="H39" s="39" t="str">
        <f t="shared" ref="H39:H70" si="4">IFERROR(IF(ABS(F39)&lt;=G39,"PASS","FAIL"),"FAIL")</f>
        <v>PASS</v>
      </c>
      <c r="I39" s="2"/>
    </row>
    <row r="40" spans="1:9" x14ac:dyDescent="0.2">
      <c r="A40" s="4" t="s">
        <v>828</v>
      </c>
      <c r="B40" s="8" t="s">
        <v>819</v>
      </c>
      <c r="C40" s="8" t="s">
        <v>829</v>
      </c>
      <c r="D40" s="36">
        <f>Variance_Analysis!H70</f>
        <v>6.0744823819081577E-2</v>
      </c>
      <c r="E40" s="36">
        <f>Reported_Actuals!$D$130</f>
        <v>6.0999999999999999E-2</v>
      </c>
      <c r="F40" s="37">
        <f t="shared" si="3"/>
        <v>-2.5517618091842192E-4</v>
      </c>
      <c r="G40" s="38">
        <v>5.9999999999999995E-4</v>
      </c>
      <c r="H40" s="39" t="str">
        <f t="shared" si="4"/>
        <v>PASS</v>
      </c>
      <c r="I40" s="2" t="s">
        <v>830</v>
      </c>
    </row>
    <row r="41" spans="1:9" x14ac:dyDescent="0.2">
      <c r="A41" s="4" t="s">
        <v>831</v>
      </c>
      <c r="B41" s="8" t="s">
        <v>819</v>
      </c>
      <c r="C41" s="8" t="s">
        <v>832</v>
      </c>
      <c r="D41" s="36">
        <f>Variance_Analysis!H71</f>
        <v>8.8153938661162778E-2</v>
      </c>
      <c r="E41" s="36">
        <f>Reported_Actuals!$D$131</f>
        <v>8.7999999999999995E-2</v>
      </c>
      <c r="F41" s="37">
        <f t="shared" si="3"/>
        <v>1.5393866116278354E-4</v>
      </c>
      <c r="G41" s="38">
        <v>5.9999999999999995E-4</v>
      </c>
      <c r="H41" s="39" t="str">
        <f t="shared" si="4"/>
        <v>PASS</v>
      </c>
      <c r="I41" s="2"/>
    </row>
    <row r="42" spans="1:9" x14ac:dyDescent="0.2">
      <c r="A42" s="4" t="s">
        <v>833</v>
      </c>
      <c r="B42" s="8" t="s">
        <v>834</v>
      </c>
      <c r="C42" s="8" t="s">
        <v>835</v>
      </c>
      <c r="D42" s="36">
        <f>SUMPRODUCT(--(ABS(Forecast!J8:J22-Forecast!H8:H22-Forecast!I8:I22)&gt;0.001))</f>
        <v>0</v>
      </c>
      <c r="E42" s="36">
        <v>0</v>
      </c>
      <c r="F42" s="37">
        <f t="shared" si="3"/>
        <v>0</v>
      </c>
      <c r="G42" s="38">
        <v>0</v>
      </c>
      <c r="H42" s="39" t="str">
        <f t="shared" si="4"/>
        <v>PASS</v>
      </c>
      <c r="I42" s="2" t="s">
        <v>836</v>
      </c>
    </row>
    <row r="43" spans="1:9" x14ac:dyDescent="0.2">
      <c r="A43" s="4" t="s">
        <v>837</v>
      </c>
      <c r="B43" s="8" t="s">
        <v>834</v>
      </c>
      <c r="C43" s="8" t="s">
        <v>838</v>
      </c>
      <c r="D43" s="36">
        <f>Forecast!$J$22</f>
        <v>4116.078562834884</v>
      </c>
      <c r="E43" s="36">
        <f>CHOOSE(Assumptions!$D$4,Scenarios!$D$22,Scenarios!$G$22,Scenarios!$J$22)</f>
        <v>4116.078562834884</v>
      </c>
      <c r="F43" s="37">
        <f t="shared" si="3"/>
        <v>0</v>
      </c>
      <c r="G43" s="38">
        <v>1E-3</v>
      </c>
      <c r="H43" s="39" t="str">
        <f t="shared" si="4"/>
        <v>PASS</v>
      </c>
      <c r="I43" s="2"/>
    </row>
    <row r="44" spans="1:9" x14ac:dyDescent="0.2">
      <c r="A44" s="4" t="s">
        <v>839</v>
      </c>
      <c r="B44" s="8" t="s">
        <v>834</v>
      </c>
      <c r="C44" s="8" t="s">
        <v>840</v>
      </c>
      <c r="D44" s="36">
        <f>Forecast!$K$22</f>
        <v>4402.1351660841783</v>
      </c>
      <c r="E44" s="36">
        <f>CHOOSE(Assumptions!$D$4,Scenarios!$E$22,Scenarios!$H$22,Scenarios!$K$22)</f>
        <v>4402.1351660841783</v>
      </c>
      <c r="F44" s="37">
        <f t="shared" si="3"/>
        <v>0</v>
      </c>
      <c r="G44" s="38">
        <v>1E-3</v>
      </c>
      <c r="H44" s="39" t="str">
        <f t="shared" si="4"/>
        <v>PASS</v>
      </c>
      <c r="I44" s="2"/>
    </row>
    <row r="45" spans="1:9" x14ac:dyDescent="0.2">
      <c r="A45" s="4" t="s">
        <v>841</v>
      </c>
      <c r="B45" s="8" t="s">
        <v>834</v>
      </c>
      <c r="C45" s="8" t="s">
        <v>842</v>
      </c>
      <c r="D45" s="36">
        <f>IF(AND(Scenarios!$K$22&lt;=Scenarios!$E$22,Scenarios!$E$22&lt;=Scenarios!$H$22),0,1)</f>
        <v>0</v>
      </c>
      <c r="E45" s="36">
        <v>0</v>
      </c>
      <c r="F45" s="37">
        <f t="shared" si="3"/>
        <v>0</v>
      </c>
      <c r="G45" s="38">
        <v>0</v>
      </c>
      <c r="H45" s="39" t="str">
        <f t="shared" si="4"/>
        <v>PASS</v>
      </c>
      <c r="I45" s="2"/>
    </row>
    <row r="46" spans="1:9" x14ac:dyDescent="0.2">
      <c r="A46" s="4" t="s">
        <v>843</v>
      </c>
      <c r="B46" s="8" t="s">
        <v>834</v>
      </c>
      <c r="C46" s="8" t="s">
        <v>844</v>
      </c>
      <c r="D46" s="36">
        <f>Scenarios!C48</f>
        <v>4402.1351660841783</v>
      </c>
      <c r="E46" s="36">
        <f>Forecast!$K$22</f>
        <v>4402.1351660841783</v>
      </c>
      <c r="F46" s="37">
        <f t="shared" si="3"/>
        <v>0</v>
      </c>
      <c r="G46" s="38">
        <v>1E-3</v>
      </c>
      <c r="H46" s="39" t="str">
        <f t="shared" si="4"/>
        <v>PASS</v>
      </c>
      <c r="I46" s="2" t="s">
        <v>845</v>
      </c>
    </row>
    <row r="47" spans="1:9" x14ac:dyDescent="0.2">
      <c r="A47" s="4" t="s">
        <v>846</v>
      </c>
      <c r="B47" s="8" t="s">
        <v>834</v>
      </c>
      <c r="C47" s="8" t="s">
        <v>847</v>
      </c>
      <c r="D47" s="36">
        <f>COUNTIF(Scenarios!C12:K12,"&lt;=0")</f>
        <v>0</v>
      </c>
      <c r="E47" s="36">
        <v>0</v>
      </c>
      <c r="F47" s="37">
        <f t="shared" si="3"/>
        <v>0</v>
      </c>
      <c r="G47" s="38">
        <v>0</v>
      </c>
      <c r="H47" s="39" t="str">
        <f t="shared" si="4"/>
        <v>PASS</v>
      </c>
      <c r="I47" s="2"/>
    </row>
    <row r="48" spans="1:9" x14ac:dyDescent="0.2">
      <c r="A48" s="4" t="s">
        <v>848</v>
      </c>
      <c r="B48" s="8" t="s">
        <v>834</v>
      </c>
      <c r="C48" s="8" t="s">
        <v>849</v>
      </c>
      <c r="D48" s="36">
        <f>COUNTIF(Assumptions!E17:G17,"&lt;0")+COUNTIF(Assumptions!E17:G17,"&gt;0.6")+COUNTIF(Assumptions!E18:G18,"&lt;0")+COUNTIF(Assumptions!E18:G18,"&gt;0.6")+COUNTIF(Assumptions!E28:G28,"&lt;0")+COUNTIF(Assumptions!E28:G28,"&gt;0.6")+COUNTIF(Assumptions!E29:G29,"&lt;0")+COUNTIF(Assumptions!E29:G29,"&gt;0.6")</f>
        <v>0</v>
      </c>
      <c r="E48" s="36">
        <v>0</v>
      </c>
      <c r="F48" s="37">
        <f t="shared" si="3"/>
        <v>0</v>
      </c>
      <c r="G48" s="38">
        <v>0</v>
      </c>
      <c r="H48" s="39" t="str">
        <f t="shared" si="4"/>
        <v>PASS</v>
      </c>
      <c r="I48" s="2"/>
    </row>
    <row r="49" spans="1:9" x14ac:dyDescent="0.2">
      <c r="A49" s="4" t="s">
        <v>850</v>
      </c>
      <c r="B49" s="8" t="s">
        <v>834</v>
      </c>
      <c r="C49" s="8" t="s">
        <v>851</v>
      </c>
      <c r="D49" s="36">
        <f>IF(ISNUMBER(Assumptions!D4),1,0)</f>
        <v>1</v>
      </c>
      <c r="E49" s="36">
        <v>1</v>
      </c>
      <c r="F49" s="37">
        <f t="shared" si="3"/>
        <v>0</v>
      </c>
      <c r="G49" s="38">
        <v>0</v>
      </c>
      <c r="H49" s="39" t="str">
        <f t="shared" si="4"/>
        <v>PASS</v>
      </c>
      <c r="I49" s="2"/>
    </row>
    <row r="50" spans="1:9" x14ac:dyDescent="0.2">
      <c r="A50" s="4" t="s">
        <v>852</v>
      </c>
      <c r="B50" s="8" t="s">
        <v>739</v>
      </c>
      <c r="C50" s="8" t="s">
        <v>853</v>
      </c>
      <c r="D50" s="36">
        <f>COUNTIF(Assumptions!E34:E45,"&lt;0")+COUNTIF(Assumptions!E34:E45,"&gt;1")</f>
        <v>0</v>
      </c>
      <c r="E50" s="36">
        <v>0</v>
      </c>
      <c r="F50" s="37">
        <f t="shared" si="3"/>
        <v>0</v>
      </c>
      <c r="G50" s="38">
        <v>0</v>
      </c>
      <c r="H50" s="39" t="str">
        <f t="shared" si="4"/>
        <v>PASS</v>
      </c>
      <c r="I50" s="2"/>
    </row>
    <row r="51" spans="1:9" x14ac:dyDescent="0.2">
      <c r="A51" s="4" t="s">
        <v>854</v>
      </c>
      <c r="B51" s="8" t="s">
        <v>739</v>
      </c>
      <c r="C51" s="8" t="s">
        <v>855</v>
      </c>
      <c r="D51" s="36">
        <f>IF(Variance_Analysis!E107&lt;Variance_Analysis!C107,1,0)</f>
        <v>1</v>
      </c>
      <c r="E51" s="36">
        <v>1</v>
      </c>
      <c r="F51" s="37">
        <f t="shared" si="3"/>
        <v>0</v>
      </c>
      <c r="G51" s="38">
        <v>0</v>
      </c>
      <c r="H51" s="39" t="str">
        <f t="shared" si="4"/>
        <v>PASS</v>
      </c>
      <c r="I51" s="2"/>
    </row>
    <row r="52" spans="1:9" x14ac:dyDescent="0.2">
      <c r="A52" s="4" t="s">
        <v>856</v>
      </c>
      <c r="B52" s="8" t="s">
        <v>857</v>
      </c>
      <c r="C52" s="8" t="s">
        <v>858</v>
      </c>
      <c r="D52" s="36">
        <f>SUMPRODUCT(--ISERROR(Forecast!A1:L60))</f>
        <v>0</v>
      </c>
      <c r="E52" s="36">
        <v>0</v>
      </c>
      <c r="F52" s="37">
        <f t="shared" si="3"/>
        <v>0</v>
      </c>
      <c r="G52" s="38">
        <v>0</v>
      </c>
      <c r="H52" s="39" t="str">
        <f t="shared" si="4"/>
        <v>PASS</v>
      </c>
      <c r="I52" s="2"/>
    </row>
    <row r="53" spans="1:9" x14ac:dyDescent="0.2">
      <c r="A53" s="4" t="s">
        <v>859</v>
      </c>
      <c r="B53" s="8" t="s">
        <v>857</v>
      </c>
      <c r="C53" s="8" t="s">
        <v>860</v>
      </c>
      <c r="D53" s="36">
        <f>SUMPRODUCT(--ISERROR(Scenarios!A1:K75))</f>
        <v>0</v>
      </c>
      <c r="E53" s="36">
        <v>0</v>
      </c>
      <c r="F53" s="37">
        <f t="shared" si="3"/>
        <v>0</v>
      </c>
      <c r="G53" s="38">
        <v>0</v>
      </c>
      <c r="H53" s="39" t="str">
        <f t="shared" si="4"/>
        <v>PASS</v>
      </c>
      <c r="I53" s="2"/>
    </row>
    <row r="54" spans="1:9" x14ac:dyDescent="0.2">
      <c r="A54" s="4" t="s">
        <v>861</v>
      </c>
      <c r="B54" s="8" t="s">
        <v>857</v>
      </c>
      <c r="C54" s="8" t="s">
        <v>862</v>
      </c>
      <c r="D54" s="36">
        <f>SUMPRODUCT(--ISERROR(Variance_Analysis!A1:I119))</f>
        <v>0</v>
      </c>
      <c r="E54" s="36">
        <v>0</v>
      </c>
      <c r="F54" s="37">
        <f t="shared" si="3"/>
        <v>0</v>
      </c>
      <c r="G54" s="38">
        <v>0</v>
      </c>
      <c r="H54" s="39" t="str">
        <f t="shared" si="4"/>
        <v>PASS</v>
      </c>
      <c r="I54" s="2"/>
    </row>
    <row r="55" spans="1:9" x14ac:dyDescent="0.2">
      <c r="A55" s="4" t="s">
        <v>863</v>
      </c>
      <c r="B55" s="8" t="s">
        <v>857</v>
      </c>
      <c r="C55" s="8" t="s">
        <v>864</v>
      </c>
      <c r="D55" s="36">
        <f>SUMPRODUCT(--ISERROR(Dashboard!A5:P110))</f>
        <v>0</v>
      </c>
      <c r="E55" s="36">
        <v>0</v>
      </c>
      <c r="F55" s="37">
        <f t="shared" si="3"/>
        <v>0</v>
      </c>
      <c r="G55" s="38">
        <v>0</v>
      </c>
      <c r="H55" s="39" t="str">
        <f t="shared" si="4"/>
        <v>PASS</v>
      </c>
      <c r="I55" s="2"/>
    </row>
    <row r="71" spans="1:8" x14ac:dyDescent="0.2">
      <c r="A71" s="4" t="s">
        <v>865</v>
      </c>
    </row>
    <row r="72" spans="1:8" x14ac:dyDescent="0.2">
      <c r="A72" s="7" t="s">
        <v>153</v>
      </c>
      <c r="B72" s="7"/>
      <c r="C72" s="7" t="s">
        <v>154</v>
      </c>
      <c r="D72" s="7" t="s">
        <v>260</v>
      </c>
      <c r="E72" s="7" t="s">
        <v>261</v>
      </c>
      <c r="F72" s="7" t="s">
        <v>135</v>
      </c>
      <c r="G72" s="7" t="s">
        <v>262</v>
      </c>
      <c r="H72" s="7" t="s">
        <v>263</v>
      </c>
    </row>
    <row r="73" spans="1:8" x14ac:dyDescent="0.2">
      <c r="A73" s="8" t="s">
        <v>170</v>
      </c>
      <c r="C73" s="8" t="s">
        <v>171</v>
      </c>
      <c r="D73" s="40">
        <f>Forecast!$C$8-(1)*INDEX(tblRep[FY2023],MATCH("NII",tblRep[Code],0))</f>
        <v>-9.9217000000862754E-2</v>
      </c>
      <c r="E73" s="40">
        <f>Forecast!$D$8-(1)*INDEX(tblRep[FY2024],MATCH("NII",tblRep[Code],0))</f>
        <v>0.26617699999951583</v>
      </c>
      <c r="F73" s="40">
        <f>Forecast!$E$8-(1)*INDEX(tblRep[FY2025],MATCH("NII",tblRep[Code],0))</f>
        <v>0.42195900000024267</v>
      </c>
      <c r="G73" s="40">
        <f>Forecast!$F$8-(1)*INDEX(tblRep[H1 2025],MATCH("NII",tblRep[Code],0))</f>
        <v>0.41223300000001473</v>
      </c>
      <c r="H73" s="40">
        <f>Forecast!$H$8-(1)*INDEX(tblRep[H1 2026],MATCH("NII",tblRep[Code],0))</f>
        <v>0.40172200000051816</v>
      </c>
    </row>
    <row r="74" spans="1:8" x14ac:dyDescent="0.2">
      <c r="A74" s="8" t="s">
        <v>174</v>
      </c>
      <c r="C74" s="8" t="s">
        <v>175</v>
      </c>
      <c r="D74" s="40">
        <f>Forecast!$C$9-(1)*INDEX(tblRep[FY2023],MATCH("NFCI",tblRep[Code],0))</f>
        <v>-0.40935400000034861</v>
      </c>
      <c r="E74" s="40">
        <f>Forecast!$D$9-(1)*INDEX(tblRep[FY2024],MATCH("NFCI",tblRep[Code],0))</f>
        <v>-0.41281900000012683</v>
      </c>
      <c r="F74" s="40">
        <f>Forecast!$E$9-(1)*INDEX(tblRep[FY2025],MATCH("NFCI",tblRep[Code],0))</f>
        <v>-0.47128900000006979</v>
      </c>
      <c r="G74" s="40">
        <f>Forecast!$F$9-(1)*INDEX(tblRep[H1 2025],MATCH("NFCI",tblRep[Code],0))</f>
        <v>-0.33400000000006003</v>
      </c>
      <c r="H74" s="40">
        <f>Forecast!$H$9-(1)*INDEX(tblRep[H1 2026],MATCH("NFCI",tblRep[Code],0))</f>
        <v>-0.24129899999979898</v>
      </c>
    </row>
    <row r="75" spans="1:8" x14ac:dyDescent="0.2">
      <c r="A75" s="8" t="s">
        <v>577</v>
      </c>
      <c r="C75" s="8" t="s">
        <v>533</v>
      </c>
      <c r="D75" s="40">
        <f>Forecast!$C$10-(1)*INDEX(tblRep[FY2023],MATCH("REP_TFV",tblRep[Code],0))</f>
        <v>-0.43953099999998813</v>
      </c>
      <c r="E75" s="40">
        <f>Forecast!$D$10-(1)*INDEX(tblRep[FY2024],MATCH("REP_TFV",tblRep[Code],0))</f>
        <v>0.12765699999999924</v>
      </c>
      <c r="F75" s="40">
        <f>Forecast!$E$10-(1)*INDEX(tblRep[FY2025],MATCH("REP_TFV",tblRep[Code],0))</f>
        <v>0.40631099999995968</v>
      </c>
      <c r="G75" s="40">
        <f>Forecast!$F$10-(1)*INDEX(tblRep[H1 2025],MATCH("REP_TFV",tblRep[Code],0))</f>
        <v>0.3018690000000106</v>
      </c>
      <c r="H75" s="40">
        <f>Forecast!$H$10-(1)*INDEX(tblRep[H1 2026],MATCH("REP_TFV",tblRep[Code],0))</f>
        <v>0.14274700000004259</v>
      </c>
    </row>
    <row r="76" spans="1:8" x14ac:dyDescent="0.2">
      <c r="A76" s="8" t="s">
        <v>582</v>
      </c>
      <c r="C76" s="8" t="s">
        <v>215</v>
      </c>
      <c r="D76" s="40">
        <f>Forecast!$C$12-(1)*INDEX(tblRep[FY2023],MATCH("REP_OP_INCOME",tblRep[Code],0))</f>
        <v>-0.3865620000015042</v>
      </c>
      <c r="E76" s="40">
        <f>Forecast!$D$12-(1)*INDEX(tblRep[FY2024],MATCH("REP_OP_INCOME",tblRep[Code],0))</f>
        <v>0.47335200000088662</v>
      </c>
      <c r="F76" s="40">
        <f>Forecast!$E$12-(1)*INDEX(tblRep[FY2025],MATCH("REP_OP_INCOME",tblRep[Code],0))</f>
        <v>-0.10829699999885634</v>
      </c>
      <c r="G76" s="40">
        <f>Forecast!$F$12-(1)*INDEX(tblRep[H1 2025],MATCH("REP_OP_INCOME",tblRep[Code],0))</f>
        <v>0.41547799999989365</v>
      </c>
      <c r="H76" s="40">
        <f>Forecast!$H$12-(1)*INDEX(tblRep[H1 2026],MATCH("REP_OP_INCOME",tblRep[Code],0))</f>
        <v>-0.27218399999856047</v>
      </c>
    </row>
    <row r="77" spans="1:8" x14ac:dyDescent="0.2">
      <c r="A77" s="8" t="s">
        <v>277</v>
      </c>
      <c r="C77" s="8" t="s">
        <v>217</v>
      </c>
      <c r="D77" s="40">
        <f>Forecast!$C$13-(1)*INDEX(tblRep[FY2023],MATCH("REP_OPEX",tblRep[Code],0))</f>
        <v>0.39496000000053755</v>
      </c>
      <c r="E77" s="40">
        <f>Forecast!$D$13-(1)*INDEX(tblRep[FY2024],MATCH("REP_OPEX",tblRep[Code],0))</f>
        <v>8.3263999999871885E-2</v>
      </c>
      <c r="F77" s="40">
        <f>Forecast!$E$13-(1)*INDEX(tblRep[FY2025],MATCH("REP_OPEX",tblRep[Code],0))</f>
        <v>0.1204490000000078</v>
      </c>
      <c r="G77" s="40">
        <f>Forecast!$F$13-(1)*INDEX(tblRep[H1 2025],MATCH("REP_OPEX",tblRep[Code],0))</f>
        <v>0.16426799999999275</v>
      </c>
      <c r="H77" s="40">
        <f>Forecast!$H$13-(1)*INDEX(tblRep[H1 2026],MATCH("REP_OPEX",tblRep[Code],0))</f>
        <v>-2.5878999999804364E-2</v>
      </c>
    </row>
    <row r="78" spans="1:8" x14ac:dyDescent="0.2">
      <c r="A78" s="8" t="s">
        <v>585</v>
      </c>
      <c r="C78" s="8" t="s">
        <v>219</v>
      </c>
      <c r="D78" s="40">
        <f>Forecast!$C$14-(1)*INDEX(tblRep[FY2023],MATCH("REP_OP_RESULT",tblRep[Code],0))</f>
        <v>8.3979999990333454E-3</v>
      </c>
      <c r="E78" s="40">
        <f>Forecast!$D$14-(1)*INDEX(tblRep[FY2024],MATCH("REP_OP_RESULT",tblRep[Code],0))</f>
        <v>-0.4433839999992415</v>
      </c>
      <c r="F78" s="40">
        <f>Forecast!$E$14-(1)*INDEX(tblRep[FY2025],MATCH("REP_OP_RESULT",tblRep[Code],0))</f>
        <v>1.2152000001151464E-2</v>
      </c>
      <c r="G78" s="40">
        <f>Forecast!$F$14-(1)*INDEX(tblRep[H1 2025],MATCH("REP_OP_RESULT",tblRep[Code],0))</f>
        <v>-0.42025400000011359</v>
      </c>
      <c r="H78" s="40">
        <f>Forecast!$H$14-(1)*INDEX(tblRep[H1 2026],MATCH("REP_OP_RESULT",tblRep[Code],0))</f>
        <v>-0.29806299999836483</v>
      </c>
    </row>
    <row r="79" spans="1:8" x14ac:dyDescent="0.2">
      <c r="A79" s="8" t="s">
        <v>196</v>
      </c>
      <c r="C79" s="8" t="s">
        <v>587</v>
      </c>
      <c r="D79" s="40">
        <f>Forecast!$C$15-(1)*INDEX(tblRep[FY2023],MATCH("IMPAIRMENT",tblRep[Code],0))</f>
        <v>0.16476599999998598</v>
      </c>
      <c r="E79" s="40">
        <f>Forecast!$D$15-(1)*INDEX(tblRep[FY2024],MATCH("IMPAIRMENT",tblRep[Code],0))</f>
        <v>-1.0894000000007509E-2</v>
      </c>
      <c r="F79" s="40">
        <f>Forecast!$E$15-(1)*INDEX(tblRep[FY2025],MATCH("IMPAIRMENT",tblRep[Code],0))</f>
        <v>0.28484000000003107</v>
      </c>
      <c r="G79" s="40">
        <f>Forecast!$F$15-(1)*INDEX(tblRep[H1 2025],MATCH("IMPAIRMENT",tblRep[Code],0))</f>
        <v>2.3078999999995631E-2</v>
      </c>
      <c r="H79" s="40">
        <f>Forecast!$H$15-(1)*INDEX(tblRep[H1 2026],MATCH("IMPAIRMENT",tblRep[Code],0))</f>
        <v>0.12566100000003644</v>
      </c>
    </row>
    <row r="80" spans="1:8" x14ac:dyDescent="0.2">
      <c r="A80" s="8" t="s">
        <v>198</v>
      </c>
      <c r="C80" s="8" t="s">
        <v>589</v>
      </c>
      <c r="D80" s="40">
        <f>Forecast!$C$16-(1)*INDEX(tblRep[FY2023],MATCH("OTHER_OP_RESULT",tblRep[Code],0))</f>
        <v>0.10715000000004693</v>
      </c>
      <c r="E80" s="40">
        <f>Forecast!$D$16-(1)*INDEX(tblRep[FY2024],MATCH("OTHER_OP_RESULT",tblRep[Code],0))</f>
        <v>-0.31411400000001777</v>
      </c>
      <c r="F80" s="40">
        <f>Forecast!$E$16-(1)*INDEX(tblRep[FY2025],MATCH("OTHER_OP_RESULT",tblRep[Code],0))</f>
        <v>0.46167100000002392</v>
      </c>
      <c r="G80" s="40">
        <f>Forecast!$F$16-(1)*INDEX(tblRep[H1 2025],MATCH("OTHER_OP_RESULT",tblRep[Code],0))</f>
        <v>0.12235600000002478</v>
      </c>
      <c r="H80" s="40">
        <f>Forecast!$H$16-(1)*INDEX(tblRep[H1 2026],MATCH("OTHER_OP_RESULT",tblRep[Code],0))</f>
        <v>0.22157800000002226</v>
      </c>
    </row>
    <row r="81" spans="1:17" x14ac:dyDescent="0.2">
      <c r="A81" s="8" t="s">
        <v>202</v>
      </c>
      <c r="C81" s="8" t="s">
        <v>373</v>
      </c>
      <c r="D81" s="40">
        <f>Forecast!$C$18-(1)*INDEX(tblRep[FY2023],MATCH("PRETAX",tblRep[Code],0))</f>
        <v>-0.21824100000139879</v>
      </c>
      <c r="E81" s="40">
        <f>Forecast!$D$18-(1)*INDEX(tblRep[FY2024],MATCH("PRETAX",tblRep[Code],0))</f>
        <v>0.27253800000107731</v>
      </c>
      <c r="F81" s="40">
        <f>Forecast!$E$18-(1)*INDEX(tblRep[FY2025],MATCH("PRETAX",tblRep[Code],0))</f>
        <v>4.1350000010424992E-3</v>
      </c>
      <c r="G81" s="40">
        <f>Forecast!$F$18-(1)*INDEX(tblRep[H1 2025],MATCH("PRETAX",tblRep[Code],0))</f>
        <v>-0.14530300000023999</v>
      </c>
      <c r="H81" s="40">
        <f>Forecast!$H$18-(1)*INDEX(tblRep[H1 2026],MATCH("PRETAX",tblRep[Code],0))</f>
        <v>0.41328000000203247</v>
      </c>
    </row>
    <row r="82" spans="1:17" x14ac:dyDescent="0.2">
      <c r="A82" s="8" t="s">
        <v>204</v>
      </c>
      <c r="C82" s="8" t="s">
        <v>205</v>
      </c>
      <c r="D82" s="40">
        <f>Forecast!$C$19-(1)*INDEX(tblRep[FY2023],MATCH("TAX",tblRep[Code],0))</f>
        <v>-0.14919799999995575</v>
      </c>
      <c r="E82" s="40">
        <f>Forecast!$D$19-(1)*INDEX(tblRep[FY2024],MATCH("TAX",tblRep[Code],0))</f>
        <v>0.45923700000003009</v>
      </c>
      <c r="F82" s="40">
        <f>Forecast!$E$19-(1)*INDEX(tblRep[FY2025],MATCH("TAX",tblRep[Code],0))</f>
        <v>0.22023600000011356</v>
      </c>
      <c r="G82" s="40">
        <f>Forecast!$F$19-(1)*INDEX(tblRep[H1 2025],MATCH("TAX",tblRep[Code],0))</f>
        <v>-0.48521299999993062</v>
      </c>
      <c r="H82" s="40">
        <f>Forecast!$H$19-(1)*INDEX(tblRep[H1 2026],MATCH("TAX",tblRep[Code],0))</f>
        <v>-0.29918700000007448</v>
      </c>
    </row>
    <row r="83" spans="1:17" x14ac:dyDescent="0.2">
      <c r="A83" s="8" t="s">
        <v>206</v>
      </c>
      <c r="C83" s="8" t="s">
        <v>207</v>
      </c>
      <c r="D83" s="40">
        <f>Forecast!$C$20-(1)*INDEX(tblRep[FY2023],MATCH("NET_RESULT",tblRep[Code],0))</f>
        <v>-0.36743900000146823</v>
      </c>
      <c r="E83" s="40">
        <f>Forecast!$D$20-(1)*INDEX(tblRep[FY2024],MATCH("NET_RESULT",tblRep[Code],0))</f>
        <v>-0.2682249999988926</v>
      </c>
      <c r="F83" s="40">
        <f>Forecast!$E$20-(1)*INDEX(tblRep[FY2025],MATCH("NET_RESULT",tblRep[Code],0))</f>
        <v>0.22437100000115606</v>
      </c>
      <c r="G83" s="40">
        <f>Forecast!$F$20-(1)*INDEX(tblRep[H1 2025],MATCH("NET_RESULT",tblRep[Code],0))</f>
        <v>0.36948399999982939</v>
      </c>
      <c r="H83" s="40">
        <f>Forecast!$H$20-(1)*INDEX(tblRep[H1 2026],MATCH("NET_RESULT",tblRep[Code],0))</f>
        <v>0.11409300000195799</v>
      </c>
    </row>
    <row r="84" spans="1:17" x14ac:dyDescent="0.2">
      <c r="A84" s="8" t="s">
        <v>208</v>
      </c>
      <c r="C84" s="8" t="s">
        <v>597</v>
      </c>
      <c r="D84" s="40">
        <f>Forecast!$C$21-(-1)*INDEX(tblRep[FY2023],MATCH("NCI",tblRep[Code],0))</f>
        <v>-5.6869000000006054E-2</v>
      </c>
      <c r="E84" s="40">
        <f>Forecast!$D$21-(-1)*INDEX(tblRep[FY2024],MATCH("NCI",tblRep[Code],0))</f>
        <v>-0.43252200000006269</v>
      </c>
      <c r="F84" s="40">
        <f>Forecast!$E$21-(-1)*INDEX(tblRep[FY2025],MATCH("NCI",tblRep[Code],0))</f>
        <v>0.32739500000002408</v>
      </c>
      <c r="G84" s="40">
        <f>Forecast!$F$21-(-1)*INDEX(tblRep[H1 2025],MATCH("NCI",tblRep[Code],0))</f>
        <v>0.2974739999999656</v>
      </c>
      <c r="H84" s="40">
        <f>Forecast!$H$21-(-1)*INDEX(tblRep[H1 2026],MATCH("NCI",tblRep[Code],0))</f>
        <v>-0.4471009999999751</v>
      </c>
    </row>
    <row r="85" spans="1:17" x14ac:dyDescent="0.2">
      <c r="A85" s="8" t="s">
        <v>210</v>
      </c>
      <c r="C85" s="8" t="s">
        <v>599</v>
      </c>
      <c r="D85" s="40">
        <f>Forecast!$C$22-(1)*INDEX(tblRep[FY2023],MATCH("NET_PROFIT",tblRep[Code],0))</f>
        <v>-0.42430800000147428</v>
      </c>
      <c r="E85" s="40">
        <f>Forecast!$D$22-(1)*INDEX(tblRep[FY2024],MATCH("NET_PROFIT",tblRep[Code],0))</f>
        <v>0.29925300000104471</v>
      </c>
      <c r="F85" s="40">
        <f>Forecast!$E$22-(1)*INDEX(tblRep[FY2025],MATCH("NET_PROFIT",tblRep[Code],0))</f>
        <v>-0.44823399999859248</v>
      </c>
      <c r="G85" s="40">
        <f>Forecast!$F$22-(1)*INDEX(tblRep[H1 2025],MATCH("NET_PROFIT",tblRep[Code],0))</f>
        <v>-0.33304200000020501</v>
      </c>
      <c r="H85" s="40">
        <f>Forecast!$H$22-(1)*INDEX(tblRep[H1 2026],MATCH("NET_PROFIT",tblRep[Code],0))</f>
        <v>-0.33300799999801711</v>
      </c>
    </row>
    <row r="89" spans="1:17" x14ac:dyDescent="0.2">
      <c r="A89" s="4" t="s">
        <v>866</v>
      </c>
    </row>
    <row r="90" spans="1:17" x14ac:dyDescent="0.2">
      <c r="A90" s="7"/>
      <c r="B90" s="7"/>
      <c r="C90" s="7" t="s">
        <v>867</v>
      </c>
      <c r="D90" s="7" t="s">
        <v>155</v>
      </c>
      <c r="E90" s="7" t="s">
        <v>156</v>
      </c>
      <c r="F90" s="7" t="s">
        <v>157</v>
      </c>
      <c r="G90" s="7" t="s">
        <v>158</v>
      </c>
      <c r="H90" s="7" t="s">
        <v>159</v>
      </c>
      <c r="I90" s="7" t="s">
        <v>160</v>
      </c>
      <c r="J90" s="7" t="s">
        <v>161</v>
      </c>
      <c r="K90" s="7" t="s">
        <v>162</v>
      </c>
      <c r="L90" s="7" t="s">
        <v>163</v>
      </c>
      <c r="M90" s="7" t="s">
        <v>164</v>
      </c>
      <c r="N90" s="7" t="s">
        <v>165</v>
      </c>
      <c r="O90" s="7" t="s">
        <v>166</v>
      </c>
      <c r="P90" s="7" t="s">
        <v>167</v>
      </c>
      <c r="Q90" s="7" t="s">
        <v>168</v>
      </c>
    </row>
    <row r="91" spans="1:17" x14ac:dyDescent="0.2">
      <c r="C91" s="8" t="s">
        <v>868</v>
      </c>
      <c r="D91" s="41">
        <f>Reported_Actuals!D27-SUM(Reported_Actuals!D6,Reported_Actuals!D7,Reported_Actuals!D8,Reported_Actuals!D9,Reported_Actuals!D10,Reported_Actuals!D11,Reported_Actuals!D12)</f>
        <v>0</v>
      </c>
      <c r="E91" s="41">
        <f>Reported_Actuals!E27-SUM(Reported_Actuals!E6,Reported_Actuals!E7,Reported_Actuals!E8,Reported_Actuals!E9,Reported_Actuals!E10,Reported_Actuals!E11,Reported_Actuals!E12)</f>
        <v>0</v>
      </c>
      <c r="F91" s="41">
        <f>Reported_Actuals!F27-SUM(Reported_Actuals!F6,Reported_Actuals!F7,Reported_Actuals!F8,Reported_Actuals!F9,Reported_Actuals!F10,Reported_Actuals!F11,Reported_Actuals!F12)</f>
        <v>0</v>
      </c>
      <c r="G91" s="41">
        <f>Reported_Actuals!G27-SUM(Reported_Actuals!G6,Reported_Actuals!G7,Reported_Actuals!G8,Reported_Actuals!G9,Reported_Actuals!G10,Reported_Actuals!G11,Reported_Actuals!G12)</f>
        <v>0</v>
      </c>
      <c r="H91" s="41">
        <f>Reported_Actuals!H27-SUM(Reported_Actuals!H6,Reported_Actuals!H7,Reported_Actuals!H8,Reported_Actuals!H9,Reported_Actuals!H10,Reported_Actuals!H11,Reported_Actuals!H12)</f>
        <v>0</v>
      </c>
      <c r="I91" s="41">
        <f>Reported_Actuals!I27-SUM(Reported_Actuals!I6,Reported_Actuals!I7,Reported_Actuals!I8,Reported_Actuals!I9,Reported_Actuals!I10,Reported_Actuals!I11,Reported_Actuals!I12)</f>
        <v>0</v>
      </c>
      <c r="J91" s="41">
        <f>Reported_Actuals!J27-SUM(Reported_Actuals!J6,Reported_Actuals!J7,Reported_Actuals!J8,Reported_Actuals!J9,Reported_Actuals!J10,Reported_Actuals!J11,Reported_Actuals!J12)</f>
        <v>0</v>
      </c>
      <c r="K91" s="41">
        <f>Reported_Actuals!K27-SUM(Reported_Actuals!K6,Reported_Actuals!K7,Reported_Actuals!K8,Reported_Actuals!K9,Reported_Actuals!K10,Reported_Actuals!K11,Reported_Actuals!K12)</f>
        <v>0</v>
      </c>
      <c r="L91" s="41">
        <f>Reported_Actuals!L27-SUM(Reported_Actuals!L6,Reported_Actuals!L7,Reported_Actuals!L8,Reported_Actuals!L9,Reported_Actuals!L10,Reported_Actuals!L11,Reported_Actuals!L12)</f>
        <v>0</v>
      </c>
      <c r="M91" s="41">
        <f>Reported_Actuals!M27-SUM(Reported_Actuals!M6,Reported_Actuals!M7,Reported_Actuals!M8,Reported_Actuals!M9,Reported_Actuals!M10,Reported_Actuals!M11,Reported_Actuals!M12)</f>
        <v>0</v>
      </c>
      <c r="N91" s="41">
        <f>Reported_Actuals!N27-SUM(Reported_Actuals!N6,Reported_Actuals!N7,Reported_Actuals!N8,Reported_Actuals!N9,Reported_Actuals!N10,Reported_Actuals!N11,Reported_Actuals!N12)</f>
        <v>0</v>
      </c>
      <c r="O91" s="41">
        <f>Reported_Actuals!O27-SUM(Reported_Actuals!O6,Reported_Actuals!O7,Reported_Actuals!O8,Reported_Actuals!O9,Reported_Actuals!O10,Reported_Actuals!O11,Reported_Actuals!O12)</f>
        <v>0</v>
      </c>
      <c r="P91" s="41">
        <f>Reported_Actuals!P27-SUM(Reported_Actuals!P6,Reported_Actuals!P7,Reported_Actuals!P8,Reported_Actuals!P9,Reported_Actuals!P10,Reported_Actuals!P11,Reported_Actuals!P12)</f>
        <v>0</v>
      </c>
      <c r="Q91" s="41">
        <f>Reported_Actuals!Q27-SUM(Reported_Actuals!Q6,Reported_Actuals!Q7,Reported_Actuals!Q8,Reported_Actuals!Q9,Reported_Actuals!Q10,Reported_Actuals!Q11,Reported_Actuals!Q12)</f>
        <v>0</v>
      </c>
    </row>
    <row r="92" spans="1:17" x14ac:dyDescent="0.2">
      <c r="C92" s="8" t="s">
        <v>869</v>
      </c>
      <c r="D92" s="41">
        <f>Reported_Actuals!D28-SUM(Reported_Actuals!D13,Reported_Actuals!D14,Reported_Actuals!D15)</f>
        <v>0</v>
      </c>
      <c r="E92" s="41">
        <f>Reported_Actuals!E28-SUM(Reported_Actuals!E13,Reported_Actuals!E14,Reported_Actuals!E15)</f>
        <v>0</v>
      </c>
      <c r="F92" s="41">
        <f>Reported_Actuals!F28-SUM(Reported_Actuals!F13,Reported_Actuals!F14,Reported_Actuals!F15)</f>
        <v>0</v>
      </c>
      <c r="G92" s="41">
        <f>Reported_Actuals!G28-SUM(Reported_Actuals!G13,Reported_Actuals!G14,Reported_Actuals!G15)</f>
        <v>0</v>
      </c>
      <c r="H92" s="41">
        <f>Reported_Actuals!H28-SUM(Reported_Actuals!H13,Reported_Actuals!H14,Reported_Actuals!H15)</f>
        <v>0</v>
      </c>
      <c r="I92" s="41">
        <f>Reported_Actuals!I28-SUM(Reported_Actuals!I13,Reported_Actuals!I14,Reported_Actuals!I15)</f>
        <v>0</v>
      </c>
      <c r="J92" s="41">
        <f>Reported_Actuals!J28-SUM(Reported_Actuals!J13,Reported_Actuals!J14,Reported_Actuals!J15)</f>
        <v>0</v>
      </c>
      <c r="K92" s="41">
        <f>Reported_Actuals!K28-SUM(Reported_Actuals!K13,Reported_Actuals!K14,Reported_Actuals!K15)</f>
        <v>0</v>
      </c>
      <c r="L92" s="41">
        <f>Reported_Actuals!L28-SUM(Reported_Actuals!L13,Reported_Actuals!L14,Reported_Actuals!L15)</f>
        <v>0</v>
      </c>
      <c r="M92" s="41">
        <f>Reported_Actuals!M28-SUM(Reported_Actuals!M13,Reported_Actuals!M14,Reported_Actuals!M15)</f>
        <v>0</v>
      </c>
      <c r="N92" s="41">
        <f>Reported_Actuals!N28-SUM(Reported_Actuals!N13,Reported_Actuals!N14,Reported_Actuals!N15)</f>
        <v>0</v>
      </c>
      <c r="O92" s="41">
        <f>Reported_Actuals!O28-SUM(Reported_Actuals!O13,Reported_Actuals!O14,Reported_Actuals!O15)</f>
        <v>0</v>
      </c>
      <c r="P92" s="41">
        <f>Reported_Actuals!P28-SUM(Reported_Actuals!P13,Reported_Actuals!P14,Reported_Actuals!P15)</f>
        <v>0</v>
      </c>
      <c r="Q92" s="41">
        <f>Reported_Actuals!Q28-SUM(Reported_Actuals!Q13,Reported_Actuals!Q14,Reported_Actuals!Q15)</f>
        <v>0</v>
      </c>
    </row>
    <row r="93" spans="1:17" x14ac:dyDescent="0.2">
      <c r="C93" s="8" t="s">
        <v>870</v>
      </c>
      <c r="D93" s="41">
        <f>Reported_Actuals!D29-Reported_Actuals!D27-Reported_Actuals!D28</f>
        <v>0</v>
      </c>
      <c r="E93" s="41">
        <f>Reported_Actuals!E29-Reported_Actuals!E27-Reported_Actuals!E28</f>
        <v>0</v>
      </c>
      <c r="F93" s="41">
        <f>Reported_Actuals!F29-Reported_Actuals!F27-Reported_Actuals!F28</f>
        <v>0</v>
      </c>
      <c r="G93" s="41">
        <f>Reported_Actuals!G29-Reported_Actuals!G27-Reported_Actuals!G28</f>
        <v>0</v>
      </c>
      <c r="H93" s="41">
        <f>Reported_Actuals!H29-Reported_Actuals!H27-Reported_Actuals!H28</f>
        <v>0</v>
      </c>
      <c r="I93" s="41">
        <f>Reported_Actuals!I29-Reported_Actuals!I27-Reported_Actuals!I28</f>
        <v>0</v>
      </c>
      <c r="J93" s="41">
        <f>Reported_Actuals!J29-Reported_Actuals!J27-Reported_Actuals!J28</f>
        <v>0</v>
      </c>
      <c r="K93" s="41">
        <f>Reported_Actuals!K29-Reported_Actuals!K27-Reported_Actuals!K28</f>
        <v>0</v>
      </c>
      <c r="L93" s="41">
        <f>Reported_Actuals!L29-Reported_Actuals!L27-Reported_Actuals!L28</f>
        <v>0</v>
      </c>
      <c r="M93" s="41">
        <f>Reported_Actuals!M29-Reported_Actuals!M27-Reported_Actuals!M28</f>
        <v>0</v>
      </c>
      <c r="N93" s="41">
        <f>Reported_Actuals!N29-Reported_Actuals!N27-Reported_Actuals!N28</f>
        <v>0</v>
      </c>
      <c r="O93" s="41">
        <f>Reported_Actuals!O29-Reported_Actuals!O27-Reported_Actuals!O28</f>
        <v>0</v>
      </c>
      <c r="P93" s="41">
        <f>Reported_Actuals!P29-Reported_Actuals!P27-Reported_Actuals!P28</f>
        <v>0</v>
      </c>
      <c r="Q93" s="41">
        <f>Reported_Actuals!Q29-Reported_Actuals!Q27-Reported_Actuals!Q28</f>
        <v>0</v>
      </c>
    </row>
    <row r="94" spans="1:17" x14ac:dyDescent="0.2">
      <c r="C94" s="8" t="s">
        <v>871</v>
      </c>
      <c r="D94" s="41">
        <f>Reported_Actuals!D21-SUM(Reported_Actuals!D29,Reported_Actuals!D16,Reported_Actuals!D17,Reported_Actuals!D18,Reported_Actuals!D19)</f>
        <v>0</v>
      </c>
      <c r="E94" s="41">
        <f>Reported_Actuals!E21-SUM(Reported_Actuals!E29,Reported_Actuals!E16,Reported_Actuals!E17,Reported_Actuals!E18,Reported_Actuals!E19)</f>
        <v>0</v>
      </c>
      <c r="F94" s="41">
        <f>Reported_Actuals!F21-SUM(Reported_Actuals!F29,Reported_Actuals!F16,Reported_Actuals!F17,Reported_Actuals!F18,Reported_Actuals!F19)</f>
        <v>0</v>
      </c>
      <c r="G94" s="41">
        <f>Reported_Actuals!G21-SUM(Reported_Actuals!G29,Reported_Actuals!G16,Reported_Actuals!G17,Reported_Actuals!G18,Reported_Actuals!G19)</f>
        <v>0</v>
      </c>
      <c r="H94" s="41">
        <f>Reported_Actuals!H21-SUM(Reported_Actuals!H29,Reported_Actuals!H16,Reported_Actuals!H17,Reported_Actuals!H18,Reported_Actuals!H19)</f>
        <v>0</v>
      </c>
      <c r="I94" s="41">
        <f>Reported_Actuals!I21-SUM(Reported_Actuals!I29,Reported_Actuals!I16,Reported_Actuals!I17,Reported_Actuals!I18,Reported_Actuals!I19)</f>
        <v>0</v>
      </c>
      <c r="J94" s="41">
        <f>Reported_Actuals!J21-SUM(Reported_Actuals!J29,Reported_Actuals!J16,Reported_Actuals!J17,Reported_Actuals!J18,Reported_Actuals!J19)</f>
        <v>0</v>
      </c>
      <c r="K94" s="41">
        <f>Reported_Actuals!K21-SUM(Reported_Actuals!K29,Reported_Actuals!K16,Reported_Actuals!K17,Reported_Actuals!K18,Reported_Actuals!K19)</f>
        <v>0</v>
      </c>
      <c r="L94" s="41">
        <f>Reported_Actuals!L21-SUM(Reported_Actuals!L29,Reported_Actuals!L16,Reported_Actuals!L17,Reported_Actuals!L18,Reported_Actuals!L19)</f>
        <v>0</v>
      </c>
      <c r="M94" s="41">
        <f>Reported_Actuals!M21-SUM(Reported_Actuals!M29,Reported_Actuals!M16,Reported_Actuals!M17,Reported_Actuals!M18,Reported_Actuals!M19)</f>
        <v>0</v>
      </c>
      <c r="N94" s="41">
        <f>Reported_Actuals!N21-SUM(Reported_Actuals!N29,Reported_Actuals!N16,Reported_Actuals!N17,Reported_Actuals!N18,Reported_Actuals!N19)</f>
        <v>0</v>
      </c>
      <c r="O94" s="41">
        <f>Reported_Actuals!O21-SUM(Reported_Actuals!O29,Reported_Actuals!O16,Reported_Actuals!O17,Reported_Actuals!O18,Reported_Actuals!O19)</f>
        <v>0</v>
      </c>
      <c r="P94" s="41">
        <f>Reported_Actuals!P21-SUM(Reported_Actuals!P29,Reported_Actuals!P16,Reported_Actuals!P17,Reported_Actuals!P18,Reported_Actuals!P19)</f>
        <v>0</v>
      </c>
      <c r="Q94" s="41">
        <f>Reported_Actuals!Q21-SUM(Reported_Actuals!Q29,Reported_Actuals!Q16,Reported_Actuals!Q17,Reported_Actuals!Q18,Reported_Actuals!Q19)</f>
        <v>0</v>
      </c>
    </row>
    <row r="95" spans="1:17" x14ac:dyDescent="0.2">
      <c r="C95" s="8" t="s">
        <v>872</v>
      </c>
      <c r="D95" s="41">
        <f>Reported_Actuals!D23-Reported_Actuals!D21-Reported_Actuals!D22</f>
        <v>0</v>
      </c>
      <c r="E95" s="41">
        <f>Reported_Actuals!E23-Reported_Actuals!E21-Reported_Actuals!E22</f>
        <v>0</v>
      </c>
      <c r="F95" s="41">
        <f>Reported_Actuals!F23-Reported_Actuals!F21-Reported_Actuals!F22</f>
        <v>0</v>
      </c>
      <c r="G95" s="41">
        <f>Reported_Actuals!G23-Reported_Actuals!G21-Reported_Actuals!G22</f>
        <v>0</v>
      </c>
      <c r="H95" s="41">
        <f>Reported_Actuals!H23-Reported_Actuals!H21-Reported_Actuals!H22</f>
        <v>0</v>
      </c>
      <c r="I95" s="41">
        <f>Reported_Actuals!I23-Reported_Actuals!I21-Reported_Actuals!I22</f>
        <v>0</v>
      </c>
      <c r="J95" s="41">
        <f>Reported_Actuals!J23-Reported_Actuals!J21-Reported_Actuals!J22</f>
        <v>0</v>
      </c>
      <c r="K95" s="41">
        <f>Reported_Actuals!K23-Reported_Actuals!K21-Reported_Actuals!K22</f>
        <v>0</v>
      </c>
      <c r="L95" s="41">
        <f>Reported_Actuals!L23-Reported_Actuals!L21-Reported_Actuals!L22</f>
        <v>0</v>
      </c>
      <c r="M95" s="41">
        <f>Reported_Actuals!M23-Reported_Actuals!M21-Reported_Actuals!M22</f>
        <v>0</v>
      </c>
      <c r="N95" s="41">
        <f>Reported_Actuals!N23-Reported_Actuals!N21-Reported_Actuals!N22</f>
        <v>0</v>
      </c>
      <c r="O95" s="41">
        <f>Reported_Actuals!O23-Reported_Actuals!O21-Reported_Actuals!O22</f>
        <v>0</v>
      </c>
      <c r="P95" s="41">
        <f>Reported_Actuals!P23-Reported_Actuals!P21-Reported_Actuals!P22</f>
        <v>0</v>
      </c>
      <c r="Q95" s="41">
        <f>Reported_Actuals!Q23-Reported_Actuals!Q21-Reported_Actuals!Q22</f>
        <v>0</v>
      </c>
    </row>
    <row r="96" spans="1:17" x14ac:dyDescent="0.2">
      <c r="C96" s="8" t="s">
        <v>873</v>
      </c>
      <c r="D96" s="41">
        <f>Reported_Actuals!D23-Reported_Actuals!D25-Reported_Actuals!D24</f>
        <v>0</v>
      </c>
      <c r="E96" s="41">
        <f>Reported_Actuals!E23-Reported_Actuals!E25-Reported_Actuals!E24</f>
        <v>0</v>
      </c>
      <c r="F96" s="41">
        <f>Reported_Actuals!F23-Reported_Actuals!F25-Reported_Actuals!F24</f>
        <v>0</v>
      </c>
      <c r="G96" s="41">
        <f>Reported_Actuals!G23-Reported_Actuals!G25-Reported_Actuals!G24</f>
        <v>0</v>
      </c>
      <c r="H96" s="41">
        <f>Reported_Actuals!H23-Reported_Actuals!H25-Reported_Actuals!H24</f>
        <v>0</v>
      </c>
      <c r="I96" s="41">
        <f>Reported_Actuals!I23-Reported_Actuals!I25-Reported_Actuals!I24</f>
        <v>0</v>
      </c>
      <c r="J96" s="41">
        <f>Reported_Actuals!J23-Reported_Actuals!J25-Reported_Actuals!J24</f>
        <v>0</v>
      </c>
      <c r="K96" s="41">
        <f>Reported_Actuals!K23-Reported_Actuals!K25-Reported_Actuals!K24</f>
        <v>0</v>
      </c>
      <c r="L96" s="41">
        <f>Reported_Actuals!L23-Reported_Actuals!L25-Reported_Actuals!L24</f>
        <v>0</v>
      </c>
      <c r="M96" s="41">
        <f>Reported_Actuals!M23-Reported_Actuals!M25-Reported_Actuals!M24</f>
        <v>0</v>
      </c>
      <c r="N96" s="41">
        <f>Reported_Actuals!N23-Reported_Actuals!N25-Reported_Actuals!N24</f>
        <v>0</v>
      </c>
      <c r="O96" s="41">
        <f>Reported_Actuals!O23-Reported_Actuals!O25-Reported_Actuals!O24</f>
        <v>0</v>
      </c>
      <c r="P96" s="41">
        <f>Reported_Actuals!P23-Reported_Actuals!P25-Reported_Actuals!P24</f>
        <v>0</v>
      </c>
      <c r="Q96" s="41">
        <f>Reported_Actuals!Q23-Reported_Actuals!Q25-Reported_Actuals!Q24</f>
        <v>0</v>
      </c>
    </row>
    <row r="97" spans="1:17" x14ac:dyDescent="0.2">
      <c r="C97" s="8" t="s">
        <v>874</v>
      </c>
      <c r="D97" s="41">
        <f>Reported_Actuals!D38-Reported_Actuals!D39</f>
        <v>0</v>
      </c>
      <c r="E97" s="41">
        <f>Reported_Actuals!E38-Reported_Actuals!E39</f>
        <v>0</v>
      </c>
      <c r="F97" s="41">
        <f>Reported_Actuals!F38-Reported_Actuals!F39</f>
        <v>0</v>
      </c>
      <c r="G97" s="41">
        <f>Reported_Actuals!G38-Reported_Actuals!G39</f>
        <v>0</v>
      </c>
      <c r="H97" s="41">
        <f>Reported_Actuals!H38-Reported_Actuals!H39</f>
        <v>0</v>
      </c>
      <c r="I97" s="41">
        <f>Reported_Actuals!I38-Reported_Actuals!I39</f>
        <v>0</v>
      </c>
      <c r="J97" s="41">
        <f>Reported_Actuals!J38-Reported_Actuals!J39</f>
        <v>0</v>
      </c>
      <c r="K97" s="41">
        <f>Reported_Actuals!K38-Reported_Actuals!K39</f>
        <v>0</v>
      </c>
      <c r="L97" s="41">
        <f>Reported_Actuals!L38-Reported_Actuals!L39</f>
        <v>0</v>
      </c>
      <c r="M97" s="41">
        <f>Reported_Actuals!M38-Reported_Actuals!M39</f>
        <v>0</v>
      </c>
      <c r="N97" s="41">
        <f>Reported_Actuals!N38-Reported_Actuals!N39</f>
        <v>1.0000076144933701E-6</v>
      </c>
      <c r="O97" s="41">
        <f>Reported_Actuals!O38-Reported_Actuals!O39</f>
        <v>1.0000076144933701E-6</v>
      </c>
      <c r="P97" s="41">
        <f>Reported_Actuals!P38-Reported_Actuals!P39</f>
        <v>0</v>
      </c>
      <c r="Q97" s="41">
        <f>Reported_Actuals!Q38-Reported_Actuals!Q39</f>
        <v>0</v>
      </c>
    </row>
    <row r="101" spans="1:17" x14ac:dyDescent="0.2">
      <c r="A101" s="4" t="s">
        <v>875</v>
      </c>
    </row>
    <row r="102" spans="1:17" x14ac:dyDescent="0.2">
      <c r="A102" s="7"/>
      <c r="B102" s="7"/>
      <c r="C102" s="7" t="s">
        <v>282</v>
      </c>
      <c r="D102" s="7" t="s">
        <v>261</v>
      </c>
      <c r="E102" s="7" t="s">
        <v>135</v>
      </c>
      <c r="F102" s="7" t="s">
        <v>262</v>
      </c>
      <c r="G102" s="7" t="s">
        <v>263</v>
      </c>
    </row>
    <row r="103" spans="1:17" x14ac:dyDescent="0.2">
      <c r="C103" s="8" t="s">
        <v>876</v>
      </c>
      <c r="D103" s="42">
        <f>SUM(INDEX(tblQ[[Q1 24]:[Q4 24]],MATCH("NET_PROFIT",tblQ[Code],0),0))</f>
        <v>3125.2992530000001</v>
      </c>
      <c r="E103" s="42">
        <f>SUM(INDEX(tblQ[[Q1 25]:[Q4 25]],MATCH("NET_PROFIT",tblQ[Code],0),0))</f>
        <v>3509.5517659999996</v>
      </c>
      <c r="F103" s="42">
        <f>SUM(INDEX(tblQ[[Q1 25]:[Q2 25]],MATCH("NET_PROFIT",tblQ[Code],0),0))</f>
        <v>1664.6669579999998</v>
      </c>
      <c r="G103" s="42">
        <f>SUM(INDEX(tblQ[[Q1 26]:[Q2 26]],MATCH("NET_PROFIT",tblQ[Code],0),0))</f>
        <v>1974.6669919999999</v>
      </c>
    </row>
    <row r="104" spans="1:17" x14ac:dyDescent="0.2">
      <c r="C104" s="8" t="s">
        <v>877</v>
      </c>
      <c r="D104" s="42">
        <f>SUM(INDEX(tblQ[[Q1 24]:[Q4 24]],MATCH("AT1_DIV",tblQ[Code],0),0))</f>
        <v>-132.59349400000002</v>
      </c>
      <c r="E104" s="42">
        <f>SUM(INDEX(tblQ[[Q1 25]:[Q4 25]],MATCH("AT1_DIV",tblQ[Code],0),0))</f>
        <v>-138.563762</v>
      </c>
      <c r="F104" s="42">
        <f>SUM(INDEX(tblQ[[Q1 25]:[Q2 25]],MATCH("AT1_DIV",tblQ[Code],0),0))</f>
        <v>-59.357086000000002</v>
      </c>
      <c r="G104" s="42">
        <f>SUM(INDEX(tblQ[[Q1 26]:[Q2 26]],MATCH("AT1_DIV",tblQ[Code],0),0))</f>
        <v>-79.887500000000003</v>
      </c>
    </row>
    <row r="105" spans="1:17" x14ac:dyDescent="0.2">
      <c r="C105" s="8" t="s">
        <v>878</v>
      </c>
      <c r="D105" s="27">
        <v>1</v>
      </c>
      <c r="E105" s="27">
        <v>1</v>
      </c>
      <c r="F105" s="27">
        <v>2</v>
      </c>
      <c r="G105" s="27">
        <v>2</v>
      </c>
    </row>
    <row r="106" spans="1:17" x14ac:dyDescent="0.2">
      <c r="C106" s="8" t="s">
        <v>879</v>
      </c>
      <c r="D106" s="20">
        <f>AVERAGE(INDEX(tblQ[[Q4 23]:[Q4 24]],MATCH("EQUITY_OWNERS",tblQ[Code],0),0))</f>
        <v>19706.070142000004</v>
      </c>
      <c r="E106" s="20">
        <f>AVERAGE(INDEX(tblQ[[Q4 24]:[Q4 25]],MATCH("EQUITY_OWNERS",tblQ[Code],0),0))</f>
        <v>21489.8698988</v>
      </c>
      <c r="F106" s="20">
        <f>AVERAGE(INDEX(tblQ[[Q4 24]:[Q2 25]],MATCH("EQUITY_OWNERS",tblQ[Code],0),0))</f>
        <v>20905.999027666665</v>
      </c>
      <c r="G106" s="20">
        <f>AVERAGE(INDEX(tblQ[[Q4 25]:[Q2 26]],MATCH("EQUITY_OWNERS",tblQ[Code],0),0))</f>
        <v>23480.299518</v>
      </c>
    </row>
    <row r="107" spans="1:17" x14ac:dyDescent="0.2">
      <c r="C107" s="8" t="s">
        <v>880</v>
      </c>
      <c r="D107" s="20">
        <f>AVERAGE(INDEX(tblQ[[Q4 23]:[Q4 24]],MATCH("INTANGIBLES",tblQ[Code],0),0))</f>
        <v>1307.0288984000001</v>
      </c>
      <c r="E107" s="20">
        <f>AVERAGE(INDEX(tblQ[[Q4 24]:[Q4 25]],MATCH("INTANGIBLES",tblQ[Code],0),0))</f>
        <v>1387.622061</v>
      </c>
      <c r="F107" s="20">
        <f>AVERAGE(INDEX(tblQ[[Q4 24]:[Q2 25]],MATCH("INTANGIBLES",tblQ[Code],0),0))</f>
        <v>1378.3044876666665</v>
      </c>
      <c r="G107" s="20">
        <f>AVERAGE(INDEX(tblQ[[Q4 25]:[Q2 26]],MATCH("INTANGIBLES",tblQ[Code],0),0))</f>
        <v>4394.9169599999996</v>
      </c>
    </row>
    <row r="108" spans="1:17" x14ac:dyDescent="0.2">
      <c r="C108" s="8" t="s">
        <v>881</v>
      </c>
      <c r="D108" s="20">
        <f>D106-D107</f>
        <v>18399.041243600004</v>
      </c>
      <c r="E108" s="20">
        <f>E106-E107</f>
        <v>20102.247837800001</v>
      </c>
      <c r="F108" s="20">
        <f>F106-F107</f>
        <v>19527.694539999997</v>
      </c>
      <c r="G108" s="20">
        <f>G106-G107</f>
        <v>19085.382558000001</v>
      </c>
    </row>
    <row r="109" spans="1:17" x14ac:dyDescent="0.2">
      <c r="C109" s="8" t="s">
        <v>882</v>
      </c>
      <c r="D109" s="28">
        <f>(D103+D104)*D105/D108</f>
        <v>0.16265552750152101</v>
      </c>
      <c r="E109" s="28">
        <f>(E103+E104)*E105/E108</f>
        <v>0.16769209250625389</v>
      </c>
      <c r="F109" s="28">
        <f>(F103+F104)*F105/F108</f>
        <v>0.16441366068193322</v>
      </c>
      <c r="G109" s="28">
        <f>(G103+G104)*G105/G108</f>
        <v>0.19855818831420458</v>
      </c>
    </row>
    <row r="110" spans="1:17" x14ac:dyDescent="0.2">
      <c r="C110" s="8" t="s">
        <v>883</v>
      </c>
      <c r="D110" s="28">
        <f>INDEX(tblRep[FY2024],MATCH("REP_ROTE",tblRep[Code],0))</f>
        <v>0.16300000000000001</v>
      </c>
      <c r="E110" s="28">
        <f>INDEX(tblRep[FY2025],MATCH("REP_ROTE",tblRep[Code],0))</f>
        <v>0.16600000000000001</v>
      </c>
      <c r="F110" s="28">
        <f>INDEX(tblRep[H1 2025],MATCH("REP_ROTE",tblRep[Code],0))</f>
        <v>0.16300000000000001</v>
      </c>
      <c r="G110" s="28">
        <f>INDEX(tblRep[H1 2026],MATCH("REP_ROTE",tblRep[Code],0))</f>
        <v>0.19600000000000001</v>
      </c>
    </row>
    <row r="111" spans="1:17" x14ac:dyDescent="0.2">
      <c r="C111" s="8" t="s">
        <v>884</v>
      </c>
      <c r="D111" s="40">
        <f>(D109-D110)*100</f>
        <v>-3.4447249847899264E-2</v>
      </c>
      <c r="E111" s="40">
        <f>(E109-E110)*100</f>
        <v>0.16920925062538783</v>
      </c>
      <c r="F111" s="40">
        <f>(F109-F110)*100</f>
        <v>0.14136606819332154</v>
      </c>
      <c r="G111" s="40">
        <f>(G109-G110)*100</f>
        <v>0.2558188314204568</v>
      </c>
    </row>
  </sheetData>
  <conditionalFormatting sqref="H7:H55">
    <cfRule type="cellIs" dxfId="1" priority="1" operator="equal">
      <formula>"PASS"</formula>
    </cfRule>
    <cfRule type="cellIs" dxfId="0" priority="2" operator="equal">
      <formula>"FAIL"</formula>
    </cfRule>
  </conditionalFormatting>
  <pageMargins left="0.75" right="0.75" top="1" bottom="1" header="0.5" footer="0.5"/>
  <pageSetup fitToHeight="0"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Read_Me</vt:lpstr>
      <vt:lpstr>Source_Register</vt:lpstr>
      <vt:lpstr>Reported_Actuals</vt:lpstr>
      <vt:lpstr>KPI_Definitions</vt:lpstr>
      <vt:lpstr>Assumptions</vt:lpstr>
      <vt:lpstr>Forecast</vt:lpstr>
      <vt:lpstr>Scenarios</vt:lpstr>
      <vt:lpstr>Variance_Analysis</vt:lpstr>
      <vt:lpstr>Dashboard</vt:lpstr>
      <vt:lpstr>Checks</vt:lpstr>
      <vt:lpstr>Dashboard!Print_Area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Erste Group Financial Performance and Forecast Model</dc:title>
  <dc:creator>Kleivin Gjuzi</dc:creator>
  <cp:lastModifiedBy>Microsoft Office User</cp:lastModifiedBy>
  <dcterms:created xsi:type="dcterms:W3CDTF">2026-10-11T19:21:59Z</dcterms:created>
  <dcterms:modified xsi:type="dcterms:W3CDTF">2026-10-11T19:22:14Z</dcterms:modified>
</cp:coreProperties>
</file>