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ables/table1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xr:revisionPtr revIDLastSave="0" documentId="13_ncr:1_{259EF7AF-D28A-9E47-A46E-66658FA16A45}" xr6:coauthVersionLast="47" xr6:coauthVersionMax="47" xr10:uidLastSave="{00000000-0000-0000-0000-000000000000}"/>
  <bookViews>
    <workbookView xWindow="0" yWindow="0" windowWidth="28800" windowHeight="18000" xr2:uid="{00000000-000D-0000-FFFF-FFFF00000000}"/>
  </bookViews>
  <sheets>
    <sheet name="Read_Me" sheetId="1" r:id="rId1"/>
    <sheet name="Sources" sheetId="2" r:id="rId2"/>
    <sheet name="Historical_Financials" sheetId="3" r:id="rId3"/>
    <sheet name="Segment_Analysis" sheetId="4" r:id="rId4"/>
    <sheet name="Assumptions" sheetId="5" r:id="rId5"/>
    <sheet name="Revenue_Forecast" sheetId="6" r:id="rId6"/>
    <sheet name="Operating_Forecast" sheetId="7" r:id="rId7"/>
    <sheet name="Capex_and_Depreciation" sheetId="8" r:id="rId8"/>
    <sheet name="Cash_Flow" sheetId="9" r:id="rId9"/>
    <sheet name="Scenarios" sheetId="10" r:id="rId10"/>
    <sheet name="Dashboard" sheetId="11" r:id="rId11"/>
    <sheet name="Checks" sheetId="12" r:id="rId12"/>
  </sheets>
  <definedNames>
    <definedName name="_xlnm.Print_Area" localSheetId="10">Dashboard!$A$1:$M$69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O87" i="12" l="1"/>
  <c r="N87" i="12"/>
  <c r="M87" i="12"/>
  <c r="L87" i="12"/>
  <c r="K87" i="12"/>
  <c r="J87" i="12"/>
  <c r="I87" i="12"/>
  <c r="H87" i="12"/>
  <c r="G87" i="12"/>
  <c r="F87" i="12"/>
  <c r="E87" i="12"/>
  <c r="D87" i="12"/>
  <c r="D18" i="12" s="1"/>
  <c r="F18" i="12" s="1"/>
  <c r="H18" i="12" s="1"/>
  <c r="O86" i="12"/>
  <c r="N86" i="12"/>
  <c r="M86" i="12"/>
  <c r="L86" i="12"/>
  <c r="K86" i="12"/>
  <c r="J86" i="12"/>
  <c r="I86" i="12"/>
  <c r="H86" i="12"/>
  <c r="G86" i="12"/>
  <c r="F86" i="12"/>
  <c r="E86" i="12"/>
  <c r="D86" i="12"/>
  <c r="D17" i="12" s="1"/>
  <c r="F17" i="12" s="1"/>
  <c r="H17" i="12" s="1"/>
  <c r="O85" i="12"/>
  <c r="N85" i="12"/>
  <c r="M85" i="12"/>
  <c r="L85" i="12"/>
  <c r="K85" i="12"/>
  <c r="J85" i="12"/>
  <c r="I85" i="12"/>
  <c r="H85" i="12"/>
  <c r="G85" i="12"/>
  <c r="F85" i="12"/>
  <c r="E85" i="12"/>
  <c r="D85" i="12"/>
  <c r="D16" i="12" s="1"/>
  <c r="F16" i="12" s="1"/>
  <c r="H16" i="12" s="1"/>
  <c r="O84" i="12"/>
  <c r="N84" i="12"/>
  <c r="M84" i="12"/>
  <c r="L84" i="12"/>
  <c r="K84" i="12"/>
  <c r="J84" i="12"/>
  <c r="I84" i="12"/>
  <c r="H84" i="12"/>
  <c r="G84" i="12"/>
  <c r="F84" i="12"/>
  <c r="E84" i="12"/>
  <c r="D84" i="12"/>
  <c r="O83" i="12"/>
  <c r="N83" i="12"/>
  <c r="M83" i="12"/>
  <c r="L83" i="12"/>
  <c r="K83" i="12"/>
  <c r="J83" i="12"/>
  <c r="I83" i="12"/>
  <c r="H83" i="12"/>
  <c r="G83" i="12"/>
  <c r="F83" i="12"/>
  <c r="E83" i="12"/>
  <c r="D83" i="12"/>
  <c r="D14" i="12" s="1"/>
  <c r="F14" i="12" s="1"/>
  <c r="H14" i="12" s="1"/>
  <c r="O82" i="12"/>
  <c r="N82" i="12"/>
  <c r="M82" i="12"/>
  <c r="L82" i="12"/>
  <c r="K82" i="12"/>
  <c r="J82" i="12"/>
  <c r="I82" i="12"/>
  <c r="H82" i="12"/>
  <c r="G82" i="12"/>
  <c r="F82" i="12"/>
  <c r="E82" i="12"/>
  <c r="D82" i="12"/>
  <c r="D13" i="12" s="1"/>
  <c r="F13" i="12" s="1"/>
  <c r="H13" i="12" s="1"/>
  <c r="O81" i="12"/>
  <c r="N81" i="12"/>
  <c r="M81" i="12"/>
  <c r="L81" i="12"/>
  <c r="K81" i="12"/>
  <c r="J81" i="12"/>
  <c r="I81" i="12"/>
  <c r="H81" i="12"/>
  <c r="G81" i="12"/>
  <c r="F81" i="12"/>
  <c r="E81" i="12"/>
  <c r="D81" i="12"/>
  <c r="O80" i="12"/>
  <c r="N80" i="12"/>
  <c r="M80" i="12"/>
  <c r="L80" i="12"/>
  <c r="K80" i="12"/>
  <c r="J80" i="12"/>
  <c r="I80" i="12"/>
  <c r="H80" i="12"/>
  <c r="G80" i="12"/>
  <c r="F80" i="12"/>
  <c r="E80" i="12"/>
  <c r="D80" i="12"/>
  <c r="D11" i="12" s="1"/>
  <c r="F11" i="12" s="1"/>
  <c r="H11" i="12" s="1"/>
  <c r="O79" i="12"/>
  <c r="N79" i="12"/>
  <c r="M79" i="12"/>
  <c r="L79" i="12"/>
  <c r="K79" i="12"/>
  <c r="J79" i="12"/>
  <c r="I79" i="12"/>
  <c r="H79" i="12"/>
  <c r="G79" i="12"/>
  <c r="F79" i="12"/>
  <c r="E79" i="12"/>
  <c r="D79" i="12"/>
  <c r="D10" i="12" s="1"/>
  <c r="F10" i="12" s="1"/>
  <c r="H10" i="12" s="1"/>
  <c r="O73" i="12"/>
  <c r="N73" i="12"/>
  <c r="M73" i="12"/>
  <c r="L73" i="12"/>
  <c r="K73" i="12"/>
  <c r="J73" i="12"/>
  <c r="I73" i="12"/>
  <c r="H73" i="12"/>
  <c r="G73" i="12"/>
  <c r="F73" i="12"/>
  <c r="E73" i="12"/>
  <c r="D73" i="12"/>
  <c r="E58" i="12"/>
  <c r="E57" i="12"/>
  <c r="D56" i="12"/>
  <c r="F56" i="12" s="1"/>
  <c r="H56" i="12" s="1"/>
  <c r="H42" i="12"/>
  <c r="H41" i="12"/>
  <c r="H40" i="12"/>
  <c r="E39" i="12"/>
  <c r="D39" i="12"/>
  <c r="E38" i="12"/>
  <c r="D38" i="12"/>
  <c r="E37" i="12"/>
  <c r="D36" i="12"/>
  <c r="F36" i="12" s="1"/>
  <c r="H36" i="12" s="1"/>
  <c r="E35" i="12"/>
  <c r="D35" i="12"/>
  <c r="F35" i="12" s="1"/>
  <c r="H35" i="12" s="1"/>
  <c r="E34" i="12"/>
  <c r="E33" i="12"/>
  <c r="E32" i="12"/>
  <c r="E31" i="12"/>
  <c r="E30" i="12"/>
  <c r="E29" i="12"/>
  <c r="E28" i="12"/>
  <c r="E27" i="12"/>
  <c r="E26" i="12"/>
  <c r="E25" i="12"/>
  <c r="E24" i="12"/>
  <c r="E23" i="12"/>
  <c r="E22" i="12"/>
  <c r="E21" i="12"/>
  <c r="E20" i="12"/>
  <c r="E19" i="12"/>
  <c r="D15" i="12"/>
  <c r="F15" i="12" s="1"/>
  <c r="H15" i="12" s="1"/>
  <c r="D12" i="12"/>
  <c r="F12" i="12" s="1"/>
  <c r="H12" i="12" s="1"/>
  <c r="D9" i="12"/>
  <c r="F9" i="12" s="1"/>
  <c r="H9" i="12" s="1"/>
  <c r="F95" i="10"/>
  <c r="F94" i="10"/>
  <c r="F93" i="10"/>
  <c r="F92" i="10"/>
  <c r="F91" i="10"/>
  <c r="A80" i="10"/>
  <c r="B76" i="10"/>
  <c r="B75" i="10"/>
  <c r="B74" i="10"/>
  <c r="B73" i="10"/>
  <c r="B72" i="10"/>
  <c r="B71" i="10"/>
  <c r="H70" i="10"/>
  <c r="G70" i="10"/>
  <c r="F70" i="10"/>
  <c r="E70" i="10"/>
  <c r="D70" i="10"/>
  <c r="C70" i="10"/>
  <c r="A69" i="10"/>
  <c r="B66" i="10"/>
  <c r="B65" i="10"/>
  <c r="B64" i="10"/>
  <c r="B63" i="10"/>
  <c r="B62" i="10"/>
  <c r="B61" i="10"/>
  <c r="H60" i="10"/>
  <c r="G60" i="10"/>
  <c r="F60" i="10"/>
  <c r="E60" i="10"/>
  <c r="D60" i="10"/>
  <c r="C60" i="10"/>
  <c r="A59" i="10"/>
  <c r="R44" i="10"/>
  <c r="Q44" i="10"/>
  <c r="P44" i="10"/>
  <c r="O44" i="10"/>
  <c r="N44" i="10"/>
  <c r="M44" i="10"/>
  <c r="L44" i="10"/>
  <c r="K44" i="10"/>
  <c r="J44" i="10"/>
  <c r="I44" i="10"/>
  <c r="H44" i="10"/>
  <c r="G44" i="10"/>
  <c r="E44" i="10"/>
  <c r="D44" i="10"/>
  <c r="C44" i="10"/>
  <c r="R43" i="10"/>
  <c r="Q43" i="10"/>
  <c r="P43" i="10"/>
  <c r="O43" i="10"/>
  <c r="N43" i="10"/>
  <c r="M43" i="10"/>
  <c r="L43" i="10"/>
  <c r="K43" i="10"/>
  <c r="J43" i="10"/>
  <c r="I43" i="10"/>
  <c r="H43" i="10"/>
  <c r="G43" i="10"/>
  <c r="E43" i="10"/>
  <c r="D43" i="10"/>
  <c r="C43" i="10"/>
  <c r="R41" i="10"/>
  <c r="Q41" i="10"/>
  <c r="P41" i="10"/>
  <c r="O41" i="10"/>
  <c r="N41" i="10"/>
  <c r="M41" i="10"/>
  <c r="L41" i="10"/>
  <c r="K41" i="10"/>
  <c r="J41" i="10"/>
  <c r="I41" i="10"/>
  <c r="H41" i="10"/>
  <c r="G41" i="10"/>
  <c r="E41" i="10"/>
  <c r="D41" i="10"/>
  <c r="C41" i="10"/>
  <c r="R33" i="10"/>
  <c r="Q33" i="10"/>
  <c r="P33" i="10"/>
  <c r="O33" i="10"/>
  <c r="N33" i="10"/>
  <c r="M33" i="10"/>
  <c r="L33" i="10"/>
  <c r="K33" i="10"/>
  <c r="J33" i="10"/>
  <c r="I33" i="10"/>
  <c r="H33" i="10"/>
  <c r="G33" i="10"/>
  <c r="E33" i="10"/>
  <c r="D33" i="10"/>
  <c r="C33" i="10"/>
  <c r="J27" i="10"/>
  <c r="R26" i="10"/>
  <c r="R27" i="10" s="1"/>
  <c r="Q26" i="10"/>
  <c r="P26" i="10"/>
  <c r="O26" i="10"/>
  <c r="N26" i="10"/>
  <c r="M26" i="10"/>
  <c r="L26" i="10"/>
  <c r="K26" i="10"/>
  <c r="J26" i="10"/>
  <c r="I26" i="10"/>
  <c r="H26" i="10"/>
  <c r="G26" i="10"/>
  <c r="E26" i="10"/>
  <c r="D26" i="10"/>
  <c r="C26" i="10"/>
  <c r="R25" i="10"/>
  <c r="Q25" i="10"/>
  <c r="P25" i="10"/>
  <c r="O25" i="10"/>
  <c r="N25" i="10"/>
  <c r="N27" i="10" s="1"/>
  <c r="M25" i="10"/>
  <c r="L25" i="10"/>
  <c r="K25" i="10"/>
  <c r="J25" i="10"/>
  <c r="I25" i="10"/>
  <c r="H25" i="10"/>
  <c r="G25" i="10"/>
  <c r="E25" i="10"/>
  <c r="E27" i="10" s="1"/>
  <c r="D25" i="10"/>
  <c r="C25" i="10"/>
  <c r="R21" i="10"/>
  <c r="Q21" i="10"/>
  <c r="P21" i="10"/>
  <c r="O21" i="10"/>
  <c r="N21" i="10"/>
  <c r="M21" i="10"/>
  <c r="L21" i="10"/>
  <c r="K21" i="10"/>
  <c r="J21" i="10"/>
  <c r="I21" i="10"/>
  <c r="H21" i="10"/>
  <c r="G21" i="10"/>
  <c r="E21" i="10"/>
  <c r="D21" i="10"/>
  <c r="C21" i="10"/>
  <c r="J10" i="10"/>
  <c r="N40" i="9"/>
  <c r="M40" i="9"/>
  <c r="L40" i="9"/>
  <c r="K40" i="9"/>
  <c r="J40" i="9"/>
  <c r="I40" i="9"/>
  <c r="H40" i="9"/>
  <c r="G40" i="9"/>
  <c r="F40" i="9"/>
  <c r="E40" i="9"/>
  <c r="D40" i="9"/>
  <c r="C40" i="9"/>
  <c r="N37" i="9"/>
  <c r="M37" i="9"/>
  <c r="L37" i="9"/>
  <c r="K37" i="9"/>
  <c r="J37" i="9"/>
  <c r="I37" i="9"/>
  <c r="H37" i="9"/>
  <c r="G37" i="9"/>
  <c r="F37" i="9"/>
  <c r="E37" i="9"/>
  <c r="D37" i="9"/>
  <c r="C37" i="9"/>
  <c r="N34" i="9"/>
  <c r="M34" i="9"/>
  <c r="L34" i="9"/>
  <c r="L39" i="9" s="1"/>
  <c r="L41" i="9" s="1"/>
  <c r="M72" i="12" s="1"/>
  <c r="K34" i="9"/>
  <c r="K39" i="9" s="1"/>
  <c r="K41" i="9" s="1"/>
  <c r="L72" i="12" s="1"/>
  <c r="J34" i="9"/>
  <c r="I34" i="9"/>
  <c r="H34" i="9"/>
  <c r="H39" i="9" s="1"/>
  <c r="H41" i="9" s="1"/>
  <c r="I72" i="12" s="1"/>
  <c r="G34" i="9"/>
  <c r="G39" i="9" s="1"/>
  <c r="G41" i="9" s="1"/>
  <c r="H72" i="12" s="1"/>
  <c r="F34" i="9"/>
  <c r="E34" i="9"/>
  <c r="D34" i="9"/>
  <c r="D39" i="9" s="1"/>
  <c r="D41" i="9" s="1"/>
  <c r="E72" i="12" s="1"/>
  <c r="C34" i="9"/>
  <c r="C39" i="9" s="1"/>
  <c r="C41" i="9" s="1"/>
  <c r="D72" i="12" s="1"/>
  <c r="N33" i="9"/>
  <c r="N35" i="9" s="1"/>
  <c r="D37" i="12" s="1"/>
  <c r="F37" i="12" s="1"/>
  <c r="H37" i="12" s="1"/>
  <c r="M33" i="9"/>
  <c r="L33" i="9"/>
  <c r="L35" i="9" s="1"/>
  <c r="K33" i="9"/>
  <c r="J33" i="9"/>
  <c r="J35" i="9" s="1"/>
  <c r="I33" i="9"/>
  <c r="H33" i="9"/>
  <c r="G33" i="9"/>
  <c r="G35" i="9" s="1"/>
  <c r="F33" i="9"/>
  <c r="F35" i="9" s="1"/>
  <c r="E33" i="9"/>
  <c r="D33" i="9"/>
  <c r="D36" i="9" s="1"/>
  <c r="D38" i="9" s="1"/>
  <c r="E71" i="12" s="1"/>
  <c r="C33" i="9"/>
  <c r="C36" i="9" s="1"/>
  <c r="E28" i="9"/>
  <c r="D28" i="9"/>
  <c r="C28" i="9"/>
  <c r="E18" i="9"/>
  <c r="D18" i="9"/>
  <c r="C18" i="9"/>
  <c r="E17" i="9"/>
  <c r="H23" i="5" s="1"/>
  <c r="D17" i="9"/>
  <c r="C17" i="9"/>
  <c r="E15" i="9"/>
  <c r="D15" i="9"/>
  <c r="C15" i="9"/>
  <c r="C13" i="9"/>
  <c r="E12" i="9"/>
  <c r="D12" i="9"/>
  <c r="C12" i="9"/>
  <c r="E10" i="9"/>
  <c r="D10" i="9"/>
  <c r="C10" i="9"/>
  <c r="B5" i="9"/>
  <c r="C72" i="8"/>
  <c r="L55" i="8"/>
  <c r="L56" i="8" s="1"/>
  <c r="L57" i="8" s="1"/>
  <c r="K51" i="8"/>
  <c r="E50" i="8"/>
  <c r="I49" i="8"/>
  <c r="E49" i="8"/>
  <c r="L48" i="8"/>
  <c r="L51" i="8" s="1"/>
  <c r="K48" i="8"/>
  <c r="K55" i="8" s="1"/>
  <c r="K56" i="8" s="1"/>
  <c r="K57" i="8" s="1"/>
  <c r="J48" i="8"/>
  <c r="I48" i="8"/>
  <c r="I55" i="8" s="1"/>
  <c r="I56" i="8" s="1"/>
  <c r="I57" i="8" s="1"/>
  <c r="H48" i="8"/>
  <c r="H51" i="8" s="1"/>
  <c r="G48" i="8"/>
  <c r="G49" i="8" s="1"/>
  <c r="F48" i="8"/>
  <c r="F51" i="8" s="1"/>
  <c r="E48" i="8"/>
  <c r="E55" i="8" s="1"/>
  <c r="E56" i="8" s="1"/>
  <c r="E57" i="8" s="1"/>
  <c r="D48" i="8"/>
  <c r="D50" i="8" s="1"/>
  <c r="C48" i="8"/>
  <c r="C49" i="8" s="1"/>
  <c r="F42" i="8"/>
  <c r="D42" i="8"/>
  <c r="C42" i="8"/>
  <c r="D41" i="8"/>
  <c r="E41" i="8" s="1"/>
  <c r="C41" i="8"/>
  <c r="D40" i="8"/>
  <c r="C40" i="8"/>
  <c r="F40" i="8" s="1"/>
  <c r="D39" i="8"/>
  <c r="C39" i="8"/>
  <c r="F38" i="8"/>
  <c r="D38" i="8"/>
  <c r="C38" i="8"/>
  <c r="D37" i="8"/>
  <c r="E37" i="8" s="1"/>
  <c r="C37" i="8"/>
  <c r="D36" i="8"/>
  <c r="C36" i="8"/>
  <c r="F36" i="8" s="1"/>
  <c r="E29" i="8"/>
  <c r="D29" i="8"/>
  <c r="D30" i="8" s="1"/>
  <c r="C29" i="8"/>
  <c r="E28" i="8"/>
  <c r="D28" i="8"/>
  <c r="C28" i="8"/>
  <c r="E27" i="8"/>
  <c r="D27" i="8"/>
  <c r="G27" i="8" s="1"/>
  <c r="C27" i="8"/>
  <c r="C26" i="8" s="1"/>
  <c r="E24" i="8"/>
  <c r="E26" i="8" s="1"/>
  <c r="H17" i="5" s="1"/>
  <c r="D24" i="8"/>
  <c r="C24" i="8"/>
  <c r="D23" i="8"/>
  <c r="E22" i="8"/>
  <c r="H29" i="10" s="1"/>
  <c r="D22" i="8"/>
  <c r="C22" i="8"/>
  <c r="C30" i="8" s="1"/>
  <c r="F21" i="8"/>
  <c r="C20" i="8"/>
  <c r="C18" i="8"/>
  <c r="E17" i="8"/>
  <c r="E23" i="8" s="1"/>
  <c r="D17" i="8"/>
  <c r="C17" i="8"/>
  <c r="C23" i="8" s="1"/>
  <c r="C25" i="8" s="1"/>
  <c r="E11" i="8"/>
  <c r="E42" i="12" s="1"/>
  <c r="D11" i="8"/>
  <c r="E41" i="12" s="1"/>
  <c r="C11" i="8"/>
  <c r="E40" i="12" s="1"/>
  <c r="E9" i="8"/>
  <c r="E19" i="8" s="1"/>
  <c r="D9" i="8"/>
  <c r="D19" i="8" s="1"/>
  <c r="C9" i="8"/>
  <c r="C10" i="8" s="1"/>
  <c r="E8" i="8"/>
  <c r="D8" i="8"/>
  <c r="C8" i="8"/>
  <c r="D23" i="12" s="1"/>
  <c r="F23" i="12" s="1"/>
  <c r="H23" i="12" s="1"/>
  <c r="B5" i="8"/>
  <c r="I43" i="7"/>
  <c r="I42" i="7"/>
  <c r="E42" i="7"/>
  <c r="D42" i="7"/>
  <c r="I41" i="7"/>
  <c r="E41" i="7"/>
  <c r="D41" i="7"/>
  <c r="I40" i="7"/>
  <c r="E40" i="7"/>
  <c r="D40" i="7"/>
  <c r="I39" i="7"/>
  <c r="E39" i="7"/>
  <c r="D39" i="7"/>
  <c r="I38" i="7"/>
  <c r="E38" i="7"/>
  <c r="D38" i="7"/>
  <c r="I37" i="7"/>
  <c r="E37" i="7"/>
  <c r="D37" i="7"/>
  <c r="E22" i="7"/>
  <c r="D22" i="7"/>
  <c r="C22" i="7"/>
  <c r="E20" i="7"/>
  <c r="H18" i="5" s="1"/>
  <c r="D20" i="7"/>
  <c r="C20" i="7"/>
  <c r="C17" i="7"/>
  <c r="E16" i="7"/>
  <c r="D16" i="7"/>
  <c r="C16" i="7"/>
  <c r="E15" i="7"/>
  <c r="D15" i="7"/>
  <c r="C15" i="7"/>
  <c r="E14" i="7"/>
  <c r="D14" i="7"/>
  <c r="D17" i="7" s="1"/>
  <c r="C14" i="7"/>
  <c r="E11" i="7"/>
  <c r="E9" i="7" s="1"/>
  <c r="D11" i="7"/>
  <c r="C11" i="7"/>
  <c r="C9" i="7" s="1"/>
  <c r="E10" i="7"/>
  <c r="E9" i="9" s="1"/>
  <c r="D10" i="7"/>
  <c r="D9" i="9" s="1"/>
  <c r="C10" i="7"/>
  <c r="C9" i="9" s="1"/>
  <c r="D9" i="7"/>
  <c r="B5" i="7"/>
  <c r="E24" i="6"/>
  <c r="D24" i="6"/>
  <c r="F24" i="6" s="1"/>
  <c r="C24" i="6"/>
  <c r="E23" i="6"/>
  <c r="D23" i="6"/>
  <c r="C23" i="6"/>
  <c r="G22" i="6"/>
  <c r="E22" i="6"/>
  <c r="D22" i="6"/>
  <c r="C22" i="6"/>
  <c r="E10" i="6"/>
  <c r="R10" i="10" s="1"/>
  <c r="D10" i="6"/>
  <c r="D85" i="11" s="1"/>
  <c r="C10" i="6"/>
  <c r="C85" i="11" s="1"/>
  <c r="E9" i="6"/>
  <c r="C9" i="10" s="1"/>
  <c r="D9" i="6"/>
  <c r="C9" i="6"/>
  <c r="C84" i="11" s="1"/>
  <c r="E8" i="6"/>
  <c r="P8" i="10" s="1"/>
  <c r="D8" i="6"/>
  <c r="D83" i="11" s="1"/>
  <c r="C8" i="6"/>
  <c r="B5" i="6"/>
  <c r="H24" i="5"/>
  <c r="G23" i="5"/>
  <c r="F17" i="9" s="1"/>
  <c r="H22" i="5"/>
  <c r="G21" i="5"/>
  <c r="G18" i="5"/>
  <c r="F20" i="7" s="1"/>
  <c r="G16" i="5"/>
  <c r="G14" i="5"/>
  <c r="F9" i="8" s="1"/>
  <c r="F19" i="8" s="1"/>
  <c r="H13" i="5"/>
  <c r="G11" i="5"/>
  <c r="G8" i="5"/>
  <c r="H22" i="6" s="1"/>
  <c r="D4" i="5"/>
  <c r="G24" i="5" s="1"/>
  <c r="F18" i="9" s="1"/>
  <c r="J48" i="4"/>
  <c r="I48" i="4"/>
  <c r="H48" i="4"/>
  <c r="G48" i="4"/>
  <c r="F48" i="4"/>
  <c r="E48" i="4"/>
  <c r="D48" i="4"/>
  <c r="C48" i="4"/>
  <c r="J47" i="4"/>
  <c r="I47" i="4"/>
  <c r="H47" i="4"/>
  <c r="G47" i="4"/>
  <c r="F47" i="4"/>
  <c r="E47" i="4"/>
  <c r="D47" i="4"/>
  <c r="C47" i="4"/>
  <c r="J46" i="4"/>
  <c r="I46" i="4"/>
  <c r="H46" i="4"/>
  <c r="G46" i="4"/>
  <c r="F46" i="4"/>
  <c r="E46" i="4"/>
  <c r="D46" i="4"/>
  <c r="C46" i="4"/>
  <c r="J45" i="4"/>
  <c r="I45" i="4"/>
  <c r="H45" i="4"/>
  <c r="G45" i="4"/>
  <c r="F45" i="4"/>
  <c r="E45" i="4"/>
  <c r="D45" i="4"/>
  <c r="C45" i="4"/>
  <c r="E41" i="4"/>
  <c r="H41" i="4" s="1"/>
  <c r="D41" i="4"/>
  <c r="C41" i="4"/>
  <c r="F41" i="4" s="1"/>
  <c r="E40" i="4"/>
  <c r="H40" i="4" s="1"/>
  <c r="D40" i="4"/>
  <c r="C40" i="4"/>
  <c r="F40" i="4" s="1"/>
  <c r="G39" i="4"/>
  <c r="E39" i="4"/>
  <c r="H39" i="4" s="1"/>
  <c r="D39" i="4"/>
  <c r="C39" i="4"/>
  <c r="H38" i="4"/>
  <c r="E38" i="4"/>
  <c r="D38" i="4"/>
  <c r="G38" i="4" s="1"/>
  <c r="C38" i="4"/>
  <c r="G37" i="4"/>
  <c r="E37" i="4"/>
  <c r="D37" i="4"/>
  <c r="C37" i="4"/>
  <c r="F37" i="4" s="1"/>
  <c r="E36" i="4"/>
  <c r="D36" i="4"/>
  <c r="G36" i="4" s="1"/>
  <c r="C36" i="4"/>
  <c r="H35" i="4"/>
  <c r="E35" i="4"/>
  <c r="I35" i="4" s="1"/>
  <c r="D35" i="4"/>
  <c r="C35" i="4"/>
  <c r="F35" i="4" s="1"/>
  <c r="E34" i="4"/>
  <c r="H34" i="4" s="1"/>
  <c r="D34" i="4"/>
  <c r="C34" i="4"/>
  <c r="F34" i="4" s="1"/>
  <c r="E33" i="4"/>
  <c r="D33" i="4"/>
  <c r="G33" i="4" s="1"/>
  <c r="C33" i="4"/>
  <c r="E32" i="4"/>
  <c r="D32" i="4"/>
  <c r="C32" i="4"/>
  <c r="E31" i="4"/>
  <c r="D31" i="4"/>
  <c r="G31" i="4" s="1"/>
  <c r="C31" i="4"/>
  <c r="E26" i="4"/>
  <c r="E18" i="4"/>
  <c r="D18" i="4"/>
  <c r="C18" i="4"/>
  <c r="F18" i="4" s="1"/>
  <c r="E17" i="4"/>
  <c r="D17" i="4"/>
  <c r="C17" i="4"/>
  <c r="F17" i="4" s="1"/>
  <c r="E16" i="4"/>
  <c r="H16" i="4" s="1"/>
  <c r="D16" i="4"/>
  <c r="C16" i="4"/>
  <c r="F16" i="4" s="1"/>
  <c r="E15" i="4"/>
  <c r="D15" i="4"/>
  <c r="G15" i="4" s="1"/>
  <c r="C15" i="4"/>
  <c r="F15" i="4" s="1"/>
  <c r="E10" i="4"/>
  <c r="I10" i="4" s="1"/>
  <c r="D10" i="4"/>
  <c r="C26" i="4" s="1"/>
  <c r="C10" i="4"/>
  <c r="E9" i="4"/>
  <c r="D25" i="4" s="1"/>
  <c r="F25" i="4" s="1"/>
  <c r="D9" i="4"/>
  <c r="C25" i="4" s="1"/>
  <c r="E25" i="4" s="1"/>
  <c r="C9" i="4"/>
  <c r="E8" i="4"/>
  <c r="I8" i="4" s="1"/>
  <c r="D8" i="4"/>
  <c r="C24" i="4" s="1"/>
  <c r="E24" i="4" s="1"/>
  <c r="C8" i="4"/>
  <c r="G7" i="4"/>
  <c r="E7" i="4"/>
  <c r="D23" i="4" s="1"/>
  <c r="F23" i="4" s="1"/>
  <c r="D7" i="4"/>
  <c r="F7" i="4" s="1"/>
  <c r="C7" i="4"/>
  <c r="H18" i="4" l="1"/>
  <c r="H35" i="9"/>
  <c r="H7" i="4"/>
  <c r="H8" i="4"/>
  <c r="F9" i="4"/>
  <c r="F10" i="4"/>
  <c r="G16" i="4"/>
  <c r="I16" i="4" s="1"/>
  <c r="G17" i="4"/>
  <c r="I31" i="4"/>
  <c r="G32" i="4"/>
  <c r="H33" i="4"/>
  <c r="G34" i="4"/>
  <c r="F38" i="4"/>
  <c r="F39" i="4"/>
  <c r="G9" i="5"/>
  <c r="H23" i="6" s="1"/>
  <c r="H14" i="5"/>
  <c r="G19" i="5"/>
  <c r="G23" i="6"/>
  <c r="E17" i="7"/>
  <c r="L18" i="10" s="1"/>
  <c r="C19" i="8"/>
  <c r="E36" i="8"/>
  <c r="F37" i="8"/>
  <c r="E40" i="8"/>
  <c r="F41" i="8"/>
  <c r="H49" i="8"/>
  <c r="I50" i="8"/>
  <c r="G55" i="8"/>
  <c r="G56" i="8" s="1"/>
  <c r="G57" i="8" s="1"/>
  <c r="H8" i="10"/>
  <c r="O10" i="10"/>
  <c r="G10" i="6"/>
  <c r="H10" i="5" s="1"/>
  <c r="G24" i="6"/>
  <c r="E39" i="8"/>
  <c r="H55" i="8"/>
  <c r="H56" i="8" s="1"/>
  <c r="H57" i="8" s="1"/>
  <c r="M8" i="10"/>
  <c r="D25" i="6"/>
  <c r="F25" i="6" s="1"/>
  <c r="G10" i="4"/>
  <c r="H32" i="4"/>
  <c r="F33" i="4"/>
  <c r="H37" i="4"/>
  <c r="G41" i="4"/>
  <c r="I7" i="4"/>
  <c r="H15" i="4"/>
  <c r="I15" i="4" s="1"/>
  <c r="G18" i="4"/>
  <c r="I18" i="4" s="1"/>
  <c r="D60" i="12" s="1"/>
  <c r="F60" i="12" s="1"/>
  <c r="H60" i="12" s="1"/>
  <c r="F31" i="4"/>
  <c r="H31" i="4"/>
  <c r="G35" i="4"/>
  <c r="H36" i="4"/>
  <c r="I39" i="4"/>
  <c r="G40" i="4"/>
  <c r="G8" i="6"/>
  <c r="H8" i="5" s="1"/>
  <c r="C25" i="6"/>
  <c r="F17" i="8"/>
  <c r="G22" i="8"/>
  <c r="E38" i="8"/>
  <c r="F39" i="8"/>
  <c r="E42" i="8"/>
  <c r="D49" i="8"/>
  <c r="L49" i="8"/>
  <c r="I51" i="8"/>
  <c r="C38" i="9"/>
  <c r="D71" i="12" s="1"/>
  <c r="G36" i="9"/>
  <c r="G38" i="9" s="1"/>
  <c r="H71" i="12" s="1"/>
  <c r="D10" i="10"/>
  <c r="G27" i="10"/>
  <c r="K27" i="10"/>
  <c r="O27" i="10"/>
  <c r="F39" i="12"/>
  <c r="H39" i="12" s="1"/>
  <c r="G25" i="4"/>
  <c r="D27" i="7"/>
  <c r="P18" i="10"/>
  <c r="O18" i="10"/>
  <c r="N18" i="10"/>
  <c r="E27" i="7"/>
  <c r="H12" i="5" s="1"/>
  <c r="D40" i="12"/>
  <c r="F40" i="12" s="1"/>
  <c r="C12" i="8"/>
  <c r="H17" i="4"/>
  <c r="I17" i="4" s="1"/>
  <c r="D84" i="11"/>
  <c r="G9" i="6"/>
  <c r="H9" i="5" s="1"/>
  <c r="I34" i="4"/>
  <c r="I38" i="4"/>
  <c r="F8" i="4"/>
  <c r="G9" i="4"/>
  <c r="H10" i="4"/>
  <c r="C23" i="4"/>
  <c r="E23" i="4" s="1"/>
  <c r="G23" i="4" s="1"/>
  <c r="D26" i="4"/>
  <c r="F26" i="4" s="1"/>
  <c r="G26" i="4" s="1"/>
  <c r="F32" i="4"/>
  <c r="I33" i="4"/>
  <c r="F36" i="4"/>
  <c r="I37" i="4"/>
  <c r="I41" i="4"/>
  <c r="G12" i="5"/>
  <c r="G17" i="5"/>
  <c r="F26" i="8" s="1"/>
  <c r="G22" i="5"/>
  <c r="F15" i="9" s="1"/>
  <c r="D11" i="6"/>
  <c r="D16" i="6" s="1"/>
  <c r="F22" i="6"/>
  <c r="I22" i="6" s="1"/>
  <c r="F23" i="6"/>
  <c r="I23" i="6" s="1"/>
  <c r="F55" i="8"/>
  <c r="F56" i="8" s="1"/>
  <c r="F57" i="8" s="1"/>
  <c r="F49" i="8"/>
  <c r="F50" i="8"/>
  <c r="F52" i="8" s="1"/>
  <c r="J55" i="8"/>
  <c r="J56" i="8" s="1"/>
  <c r="J57" i="8" s="1"/>
  <c r="J51" i="8"/>
  <c r="J49" i="8"/>
  <c r="J50" i="8"/>
  <c r="J52" i="8" s="1"/>
  <c r="C95" i="11"/>
  <c r="C24" i="9"/>
  <c r="N9" i="10"/>
  <c r="I9" i="4"/>
  <c r="I36" i="4"/>
  <c r="G8" i="4"/>
  <c r="H9" i="4"/>
  <c r="D24" i="4"/>
  <c r="F24" i="4" s="1"/>
  <c r="G24" i="4" s="1"/>
  <c r="D55" i="12"/>
  <c r="F55" i="12" s="1"/>
  <c r="H55" i="12" s="1"/>
  <c r="G10" i="5"/>
  <c r="G13" i="5"/>
  <c r="F8" i="8" s="1"/>
  <c r="G15" i="5"/>
  <c r="F20" i="8" s="1"/>
  <c r="F32" i="8" s="1"/>
  <c r="G20" i="5"/>
  <c r="E11" i="6"/>
  <c r="E16" i="6" s="1"/>
  <c r="D17" i="6"/>
  <c r="E25" i="6"/>
  <c r="G11" i="7"/>
  <c r="D28" i="12"/>
  <c r="F28" i="12" s="1"/>
  <c r="H28" i="12" s="1"/>
  <c r="D13" i="9"/>
  <c r="G8" i="8"/>
  <c r="D18" i="8"/>
  <c r="D13" i="8"/>
  <c r="D10" i="8"/>
  <c r="C21" i="8"/>
  <c r="C14" i="9"/>
  <c r="F8" i="6"/>
  <c r="D33" i="12"/>
  <c r="F33" i="12" s="1"/>
  <c r="H33" i="12" s="1"/>
  <c r="E18" i="8"/>
  <c r="E21" i="8" s="1"/>
  <c r="E13" i="8"/>
  <c r="E10" i="8"/>
  <c r="E13" i="9"/>
  <c r="D31" i="8"/>
  <c r="D101" i="11" s="1"/>
  <c r="D94" i="11"/>
  <c r="D27" i="12"/>
  <c r="F27" i="12" s="1"/>
  <c r="H27" i="12" s="1"/>
  <c r="D22" i="9"/>
  <c r="G12" i="9"/>
  <c r="D14" i="9"/>
  <c r="K36" i="9"/>
  <c r="K35" i="9"/>
  <c r="C35" i="9"/>
  <c r="I32" i="4"/>
  <c r="I40" i="4"/>
  <c r="C83" i="11"/>
  <c r="C11" i="6"/>
  <c r="C14" i="8" s="1"/>
  <c r="E84" i="11"/>
  <c r="O9" i="10"/>
  <c r="K9" i="10"/>
  <c r="G9" i="10"/>
  <c r="R9" i="10"/>
  <c r="M9" i="10"/>
  <c r="H9" i="10"/>
  <c r="Q9" i="10"/>
  <c r="L9" i="10"/>
  <c r="E9" i="10"/>
  <c r="P9" i="10"/>
  <c r="P11" i="10" s="1"/>
  <c r="J9" i="10"/>
  <c r="D9" i="10"/>
  <c r="C32" i="8"/>
  <c r="G24" i="8"/>
  <c r="D26" i="8"/>
  <c r="D25" i="8"/>
  <c r="D20" i="8"/>
  <c r="D32" i="8" s="1"/>
  <c r="E31" i="8"/>
  <c r="E101" i="11" s="1"/>
  <c r="I9" i="10"/>
  <c r="E30" i="8"/>
  <c r="G30" i="8" s="1"/>
  <c r="C51" i="8"/>
  <c r="G51" i="8"/>
  <c r="C55" i="8"/>
  <c r="D32" i="12"/>
  <c r="F32" i="12" s="1"/>
  <c r="H32" i="12" s="1"/>
  <c r="E94" i="11"/>
  <c r="D35" i="9"/>
  <c r="C8" i="10"/>
  <c r="I8" i="10"/>
  <c r="I11" i="10" s="1"/>
  <c r="I28" i="10" s="1"/>
  <c r="O8" i="10"/>
  <c r="E10" i="10"/>
  <c r="K10" i="10"/>
  <c r="Q10" i="10"/>
  <c r="L29" i="10"/>
  <c r="L30" i="10" s="1"/>
  <c r="L31" i="10" s="1"/>
  <c r="L32" i="10" s="1"/>
  <c r="L14" i="10" s="1"/>
  <c r="F28" i="8"/>
  <c r="C50" i="8"/>
  <c r="G50" i="8"/>
  <c r="K50" i="8"/>
  <c r="K52" i="8" s="1"/>
  <c r="D51" i="8"/>
  <c r="D52" i="8" s="1"/>
  <c r="D55" i="8"/>
  <c r="D56" i="8" s="1"/>
  <c r="D57" i="8" s="1"/>
  <c r="D25" i="9"/>
  <c r="E14" i="9"/>
  <c r="E36" i="9"/>
  <c r="E38" i="9" s="1"/>
  <c r="F71" i="12" s="1"/>
  <c r="E39" i="9"/>
  <c r="I39" i="9"/>
  <c r="M39" i="9"/>
  <c r="M41" i="9" s="1"/>
  <c r="N72" i="12" s="1"/>
  <c r="D8" i="10"/>
  <c r="K8" i="10"/>
  <c r="G10" i="10"/>
  <c r="M10" i="10"/>
  <c r="C94" i="10"/>
  <c r="G94" i="10" s="1"/>
  <c r="C27" i="10"/>
  <c r="H27" i="10"/>
  <c r="L27" i="10"/>
  <c r="P27" i="10"/>
  <c r="Q29" i="10"/>
  <c r="E83" i="11"/>
  <c r="R8" i="10"/>
  <c r="R11" i="10" s="1"/>
  <c r="N8" i="10"/>
  <c r="J8" i="10"/>
  <c r="E8" i="10"/>
  <c r="E85" i="11"/>
  <c r="P10" i="10"/>
  <c r="L10" i="10"/>
  <c r="H10" i="10"/>
  <c r="C10" i="10"/>
  <c r="E20" i="8"/>
  <c r="E32" i="8" s="1"/>
  <c r="H15" i="5" s="1"/>
  <c r="Q30" i="10"/>
  <c r="M30" i="10"/>
  <c r="P29" i="10"/>
  <c r="P30" i="10" s="1"/>
  <c r="P31" i="10" s="1"/>
  <c r="P32" i="10" s="1"/>
  <c r="D34" i="12"/>
  <c r="F34" i="12" s="1"/>
  <c r="H34" i="12" s="1"/>
  <c r="Q31" i="10"/>
  <c r="Q32" i="10" s="1"/>
  <c r="Q14" i="10" s="1"/>
  <c r="H30" i="10"/>
  <c r="G31" i="10"/>
  <c r="G32" i="10" s="1"/>
  <c r="G14" i="10" s="1"/>
  <c r="O29" i="10"/>
  <c r="O30" i="10" s="1"/>
  <c r="K29" i="10"/>
  <c r="K30" i="10" s="1"/>
  <c r="G29" i="10"/>
  <c r="N29" i="10"/>
  <c r="N30" i="10" s="1"/>
  <c r="J29" i="10"/>
  <c r="J30" i="10" s="1"/>
  <c r="J31" i="10" s="1"/>
  <c r="J32" i="10" s="1"/>
  <c r="J14" i="10" s="1"/>
  <c r="E29" i="10"/>
  <c r="E30" i="10" s="1"/>
  <c r="R29" i="10"/>
  <c r="R30" i="10" s="1"/>
  <c r="M29" i="10"/>
  <c r="I29" i="10"/>
  <c r="I30" i="10" s="1"/>
  <c r="D29" i="10"/>
  <c r="D30" i="10" s="1"/>
  <c r="E25" i="8"/>
  <c r="H16" i="5" s="1"/>
  <c r="K49" i="8"/>
  <c r="M49" i="8" s="1"/>
  <c r="H50" i="8"/>
  <c r="H52" i="8" s="1"/>
  <c r="L50" i="8"/>
  <c r="L52" i="8" s="1"/>
  <c r="E51" i="8"/>
  <c r="E52" i="8" s="1"/>
  <c r="C94" i="11"/>
  <c r="D22" i="12"/>
  <c r="F22" i="12" s="1"/>
  <c r="H22" i="12" s="1"/>
  <c r="G8" i="10"/>
  <c r="L8" i="10"/>
  <c r="Q8" i="10"/>
  <c r="Q11" i="10" s="1"/>
  <c r="I10" i="10"/>
  <c r="N10" i="10"/>
  <c r="I27" i="10"/>
  <c r="M27" i="10"/>
  <c r="Q27" i="10"/>
  <c r="C29" i="10"/>
  <c r="C30" i="10" s="1"/>
  <c r="G30" i="10"/>
  <c r="D94" i="10"/>
  <c r="H94" i="10" s="1"/>
  <c r="E94" i="10"/>
  <c r="I94" i="10" s="1"/>
  <c r="E35" i="9"/>
  <c r="I35" i="9"/>
  <c r="M35" i="9"/>
  <c r="D27" i="10"/>
  <c r="F38" i="12"/>
  <c r="H38" i="12" s="1"/>
  <c r="H11" i="10" l="1"/>
  <c r="H28" i="10" s="1"/>
  <c r="Q18" i="10"/>
  <c r="M18" i="10"/>
  <c r="C18" i="10"/>
  <c r="G17" i="7"/>
  <c r="M11" i="10"/>
  <c r="M37" i="10" s="1"/>
  <c r="R18" i="10"/>
  <c r="I52" i="8"/>
  <c r="G11" i="10"/>
  <c r="G12" i="10" s="1"/>
  <c r="J11" i="10"/>
  <c r="J12" i="10" s="1"/>
  <c r="K11" i="10"/>
  <c r="K36" i="10" s="1"/>
  <c r="G52" i="8"/>
  <c r="D21" i="8"/>
  <c r="F17" i="7"/>
  <c r="D18" i="10"/>
  <c r="E18" i="10"/>
  <c r="G18" i="10"/>
  <c r="H18" i="10"/>
  <c r="H36" i="9"/>
  <c r="C22" i="9"/>
  <c r="D11" i="10"/>
  <c r="D28" i="10" s="1"/>
  <c r="G25" i="6"/>
  <c r="F9" i="6"/>
  <c r="H9" i="6" s="1"/>
  <c r="I18" i="10"/>
  <c r="J18" i="10"/>
  <c r="K18" i="10"/>
  <c r="C31" i="10"/>
  <c r="C32" i="10" s="1"/>
  <c r="E31" i="10"/>
  <c r="E32" i="10" s="1"/>
  <c r="P37" i="10"/>
  <c r="P12" i="10"/>
  <c r="P36" i="10"/>
  <c r="P28" i="10"/>
  <c r="H37" i="10"/>
  <c r="H12" i="10"/>
  <c r="H36" i="10"/>
  <c r="F27" i="7"/>
  <c r="C39" i="7" s="1"/>
  <c r="F39" i="7" s="1"/>
  <c r="H17" i="7"/>
  <c r="E111" i="11"/>
  <c r="E58" i="8"/>
  <c r="E59" i="8" s="1"/>
  <c r="E60" i="8" s="1"/>
  <c r="N31" i="10"/>
  <c r="N32" i="10" s="1"/>
  <c r="M36" i="10"/>
  <c r="M28" i="10"/>
  <c r="D31" i="10"/>
  <c r="D32" i="10" s="1"/>
  <c r="P14" i="10"/>
  <c r="P34" i="10"/>
  <c r="P35" i="10" s="1"/>
  <c r="R31" i="10"/>
  <c r="R32" i="10" s="1"/>
  <c r="D111" i="11"/>
  <c r="C71" i="8"/>
  <c r="C66" i="8"/>
  <c r="R36" i="10"/>
  <c r="R12" i="10"/>
  <c r="R37" i="10"/>
  <c r="G111" i="11"/>
  <c r="L11" i="10"/>
  <c r="L111" i="11"/>
  <c r="O31" i="10"/>
  <c r="O32" i="10" s="1"/>
  <c r="E11" i="10"/>
  <c r="I41" i="9"/>
  <c r="J72" i="12" s="1"/>
  <c r="J39" i="9"/>
  <c r="J41" i="9" s="1"/>
  <c r="K72" i="12" s="1"/>
  <c r="D58" i="8"/>
  <c r="D59" i="8" s="1"/>
  <c r="D60" i="8" s="1"/>
  <c r="C52" i="8"/>
  <c r="M50" i="8"/>
  <c r="D57" i="12" s="1"/>
  <c r="F57" i="12" s="1"/>
  <c r="H57" i="12" s="1"/>
  <c r="C11" i="10"/>
  <c r="C56" i="8"/>
  <c r="M55" i="8"/>
  <c r="G34" i="10"/>
  <c r="G35" i="10" s="1"/>
  <c r="Q34" i="10"/>
  <c r="D42" i="12"/>
  <c r="F42" i="12" s="1"/>
  <c r="E14" i="8"/>
  <c r="E12" i="8"/>
  <c r="F83" i="11"/>
  <c r="H8" i="6"/>
  <c r="F36" i="9"/>
  <c r="F38" i="9" s="1"/>
  <c r="G71" i="12" s="1"/>
  <c r="I8" i="11"/>
  <c r="D100" i="11"/>
  <c r="J58" i="8"/>
  <c r="J59" i="8" s="1"/>
  <c r="J60" i="8" s="1"/>
  <c r="C17" i="6"/>
  <c r="Q12" i="10"/>
  <c r="Q36" i="10"/>
  <c r="Q37" i="10"/>
  <c r="G36" i="10"/>
  <c r="G37" i="10"/>
  <c r="G28" i="10"/>
  <c r="I31" i="10"/>
  <c r="I32" i="10" s="1"/>
  <c r="J36" i="10"/>
  <c r="D84" i="10"/>
  <c r="E96" i="11"/>
  <c r="F7" i="11"/>
  <c r="E23" i="9"/>
  <c r="E16" i="9"/>
  <c r="E19" i="9" s="1"/>
  <c r="H7" i="11"/>
  <c r="E100" i="11"/>
  <c r="C96" i="11"/>
  <c r="C23" i="9"/>
  <c r="C16" i="9"/>
  <c r="C19" i="9" s="1"/>
  <c r="B7" i="11"/>
  <c r="D29" i="12"/>
  <c r="F29" i="12" s="1"/>
  <c r="H29" i="12" s="1"/>
  <c r="E8" i="7"/>
  <c r="E25" i="9"/>
  <c r="H20" i="5" s="1"/>
  <c r="E17" i="6"/>
  <c r="E22" i="9"/>
  <c r="E12" i="6"/>
  <c r="C8" i="11" s="1"/>
  <c r="E15" i="6"/>
  <c r="D83" i="10"/>
  <c r="F13" i="9"/>
  <c r="H13" i="9" s="1"/>
  <c r="F22" i="8"/>
  <c r="F10" i="8"/>
  <c r="H10" i="8" s="1"/>
  <c r="B43" i="7"/>
  <c r="F18" i="8"/>
  <c r="J28" i="10"/>
  <c r="J111" i="11"/>
  <c r="F111" i="11"/>
  <c r="D24" i="12"/>
  <c r="F24" i="12" s="1"/>
  <c r="H24" i="12" s="1"/>
  <c r="G11" i="6"/>
  <c r="D15" i="6"/>
  <c r="D8" i="7"/>
  <c r="D12" i="6"/>
  <c r="H111" i="11"/>
  <c r="Q35" i="10"/>
  <c r="K28" i="10"/>
  <c r="E41" i="9"/>
  <c r="F72" i="12" s="1"/>
  <c r="F39" i="9"/>
  <c r="F41" i="9" s="1"/>
  <c r="G72" i="12" s="1"/>
  <c r="H31" i="10"/>
  <c r="H32" i="10" s="1"/>
  <c r="D19" i="12"/>
  <c r="F19" i="12" s="1"/>
  <c r="H19" i="12" s="1"/>
  <c r="C13" i="8"/>
  <c r="C100" i="11" s="1"/>
  <c r="C8" i="7"/>
  <c r="C16" i="6"/>
  <c r="C15" i="6"/>
  <c r="C25" i="9"/>
  <c r="D96" i="11"/>
  <c r="D23" i="9"/>
  <c r="D16" i="9"/>
  <c r="D19" i="9" s="1"/>
  <c r="G14" i="9"/>
  <c r="G8" i="11" s="1"/>
  <c r="Q28" i="10"/>
  <c r="K31" i="10"/>
  <c r="K32" i="10" s="1"/>
  <c r="M31" i="10"/>
  <c r="M32" i="10" s="1"/>
  <c r="N11" i="10"/>
  <c r="D36" i="10"/>
  <c r="D37" i="10"/>
  <c r="D12" i="10"/>
  <c r="D91" i="10" s="1"/>
  <c r="H91" i="10" s="1"/>
  <c r="K111" i="11"/>
  <c r="O11" i="10"/>
  <c r="M51" i="8"/>
  <c r="J34" i="10"/>
  <c r="J35" i="10" s="1"/>
  <c r="H8" i="8"/>
  <c r="K38" i="9"/>
  <c r="L71" i="12" s="1"/>
  <c r="L36" i="9"/>
  <c r="H58" i="8"/>
  <c r="H59" i="8" s="1"/>
  <c r="H60" i="8" s="1"/>
  <c r="H24" i="6"/>
  <c r="I24" i="6" s="1"/>
  <c r="F10" i="6"/>
  <c r="G58" i="8"/>
  <c r="G59" i="8" s="1"/>
  <c r="G60" i="8" s="1"/>
  <c r="F84" i="11"/>
  <c r="K58" i="8"/>
  <c r="K59" i="8" s="1"/>
  <c r="K60" i="8" s="1"/>
  <c r="L58" i="8"/>
  <c r="L59" i="8" s="1"/>
  <c r="L60" i="8" s="1"/>
  <c r="I36" i="10"/>
  <c r="I37" i="10"/>
  <c r="I12" i="10"/>
  <c r="L34" i="10"/>
  <c r="L35" i="10" s="1"/>
  <c r="E95" i="11"/>
  <c r="E24" i="9"/>
  <c r="N39" i="9"/>
  <c r="N41" i="9" s="1"/>
  <c r="O72" i="12" s="1"/>
  <c r="C31" i="8"/>
  <c r="C101" i="11" s="1"/>
  <c r="D41" i="12"/>
  <c r="F41" i="12" s="1"/>
  <c r="D12" i="8"/>
  <c r="D14" i="8"/>
  <c r="G10" i="8"/>
  <c r="D95" i="11"/>
  <c r="D24" i="9"/>
  <c r="G13" i="9"/>
  <c r="R28" i="10"/>
  <c r="F58" i="8"/>
  <c r="F59" i="8" s="1"/>
  <c r="F60" i="8" s="1"/>
  <c r="H38" i="9" l="1"/>
  <c r="I71" i="12" s="1"/>
  <c r="I36" i="9"/>
  <c r="K12" i="10"/>
  <c r="K37" i="10"/>
  <c r="J37" i="10"/>
  <c r="M12" i="10"/>
  <c r="F16" i="6"/>
  <c r="D8" i="12"/>
  <c r="F8" i="12" s="1"/>
  <c r="H8" i="12" s="1"/>
  <c r="F11" i="6"/>
  <c r="F15" i="6" s="1"/>
  <c r="I111" i="11"/>
  <c r="I58" i="8"/>
  <c r="I59" i="8" s="1"/>
  <c r="I60" i="8" s="1"/>
  <c r="I112" i="11" s="1"/>
  <c r="J112" i="11"/>
  <c r="F112" i="11"/>
  <c r="D112" i="11"/>
  <c r="E112" i="11"/>
  <c r="E14" i="10"/>
  <c r="E34" i="10"/>
  <c r="E35" i="10" s="1"/>
  <c r="H112" i="11"/>
  <c r="G8" i="7"/>
  <c r="D12" i="7"/>
  <c r="D30" i="7"/>
  <c r="D26" i="7"/>
  <c r="F14" i="8"/>
  <c r="O14" i="10"/>
  <c r="O34" i="10"/>
  <c r="O35" i="10" s="1"/>
  <c r="C57" i="8"/>
  <c r="M56" i="8"/>
  <c r="C111" i="11"/>
  <c r="M52" i="8"/>
  <c r="C70" i="8" s="1"/>
  <c r="C53" i="8"/>
  <c r="L37" i="10"/>
  <c r="L36" i="10"/>
  <c r="L12" i="10"/>
  <c r="L28" i="10"/>
  <c r="R14" i="10"/>
  <c r="R34" i="10"/>
  <c r="R35" i="10" s="1"/>
  <c r="D14" i="10"/>
  <c r="D34" i="10"/>
  <c r="D35" i="10" s="1"/>
  <c r="N14" i="10"/>
  <c r="N34" i="10"/>
  <c r="N35" i="10" s="1"/>
  <c r="C14" i="10"/>
  <c r="E45" i="12" s="1"/>
  <c r="C34" i="10"/>
  <c r="C35" i="10" s="1"/>
  <c r="M14" i="10"/>
  <c r="M34" i="10"/>
  <c r="M35" i="10" s="1"/>
  <c r="E12" i="7"/>
  <c r="E30" i="7"/>
  <c r="E26" i="7"/>
  <c r="J7" i="11"/>
  <c r="D43" i="12"/>
  <c r="F43" i="12" s="1"/>
  <c r="H43" i="12" s="1"/>
  <c r="F11" i="9"/>
  <c r="F26" i="9" s="1"/>
  <c r="F12" i="6"/>
  <c r="F9" i="7"/>
  <c r="F8" i="7"/>
  <c r="F30" i="7" s="1"/>
  <c r="L112" i="11"/>
  <c r="G112" i="11"/>
  <c r="L38" i="9"/>
  <c r="M71" i="12" s="1"/>
  <c r="M36" i="9"/>
  <c r="K14" i="10"/>
  <c r="K34" i="10"/>
  <c r="K35" i="10" s="1"/>
  <c r="H14" i="10"/>
  <c r="H34" i="10"/>
  <c r="H35" i="10" s="1"/>
  <c r="F23" i="8"/>
  <c r="F24" i="8" s="1"/>
  <c r="H22" i="8"/>
  <c r="H11" i="6"/>
  <c r="K112" i="11"/>
  <c r="F85" i="11"/>
  <c r="F17" i="6"/>
  <c r="H10" i="6"/>
  <c r="O36" i="10"/>
  <c r="O37" i="10"/>
  <c r="O13" i="10"/>
  <c r="O15" i="10" s="1"/>
  <c r="O16" i="10" s="1"/>
  <c r="O28" i="10"/>
  <c r="O12" i="10"/>
  <c r="N36" i="10"/>
  <c r="N37" i="10"/>
  <c r="N12" i="10"/>
  <c r="N13" i="10"/>
  <c r="N28" i="10"/>
  <c r="C12" i="7"/>
  <c r="C26" i="7"/>
  <c r="C30" i="7"/>
  <c r="F95" i="11"/>
  <c r="I14" i="10"/>
  <c r="I34" i="10"/>
  <c r="I35" i="10" s="1"/>
  <c r="C37" i="10"/>
  <c r="C36" i="10"/>
  <c r="C13" i="10"/>
  <c r="C15" i="10" s="1"/>
  <c r="C16" i="10" s="1"/>
  <c r="C12" i="10"/>
  <c r="E43" i="12"/>
  <c r="C28" i="10"/>
  <c r="E36" i="10"/>
  <c r="E37" i="10"/>
  <c r="E12" i="10"/>
  <c r="E91" i="10" s="1"/>
  <c r="I91" i="10" s="1"/>
  <c r="E13" i="10"/>
  <c r="E15" i="10" s="1"/>
  <c r="E16" i="10" s="1"/>
  <c r="E28" i="10"/>
  <c r="H8" i="7" l="1"/>
  <c r="I38" i="9"/>
  <c r="J71" i="12" s="1"/>
  <c r="J36" i="9"/>
  <c r="J38" i="9" s="1"/>
  <c r="K71" i="12" s="1"/>
  <c r="F13" i="8"/>
  <c r="F100" i="11" s="1"/>
  <c r="F10" i="9"/>
  <c r="F25" i="9" s="1"/>
  <c r="C19" i="10"/>
  <c r="C17" i="10"/>
  <c r="E17" i="10"/>
  <c r="E19" i="10"/>
  <c r="N15" i="10"/>
  <c r="N16" i="10" s="1"/>
  <c r="H11" i="5"/>
  <c r="P13" i="10"/>
  <c r="P15" i="10" s="1"/>
  <c r="P16" i="10" s="1"/>
  <c r="H13" i="10"/>
  <c r="H15" i="10" s="1"/>
  <c r="H16" i="10" s="1"/>
  <c r="J13" i="10"/>
  <c r="J15" i="10" s="1"/>
  <c r="J16" i="10" s="1"/>
  <c r="D13" i="10"/>
  <c r="D15" i="10" s="1"/>
  <c r="D16" i="10" s="1"/>
  <c r="I13" i="10"/>
  <c r="I15" i="10" s="1"/>
  <c r="I16" i="10" s="1"/>
  <c r="G13" i="10"/>
  <c r="G15" i="10" s="1"/>
  <c r="G16" i="10" s="1"/>
  <c r="K13" i="10"/>
  <c r="K15" i="10" s="1"/>
  <c r="K16" i="10" s="1"/>
  <c r="M13" i="10"/>
  <c r="M15" i="10" s="1"/>
  <c r="M16" i="10" s="1"/>
  <c r="R13" i="10"/>
  <c r="R15" i="10" s="1"/>
  <c r="R16" i="10" s="1"/>
  <c r="Q13" i="10"/>
  <c r="Q15" i="10" s="1"/>
  <c r="Q16" i="10" s="1"/>
  <c r="C91" i="10"/>
  <c r="G91" i="10" s="1"/>
  <c r="C13" i="7"/>
  <c r="C89" i="11" s="1"/>
  <c r="C18" i="7"/>
  <c r="F25" i="8"/>
  <c r="H24" i="8"/>
  <c r="F27" i="8"/>
  <c r="F29" i="8"/>
  <c r="M38" i="9"/>
  <c r="N71" i="12" s="1"/>
  <c r="N36" i="9"/>
  <c r="N38" i="9" s="1"/>
  <c r="O71" i="12" s="1"/>
  <c r="D82" i="10"/>
  <c r="K8" i="11"/>
  <c r="H25" i="6"/>
  <c r="C37" i="7"/>
  <c r="F37" i="7" s="1"/>
  <c r="E13" i="7"/>
  <c r="E89" i="11" s="1"/>
  <c r="E18" i="7"/>
  <c r="O17" i="10"/>
  <c r="O19" i="10"/>
  <c r="F11" i="7"/>
  <c r="F26" i="7"/>
  <c r="L13" i="10"/>
  <c r="L15" i="10" s="1"/>
  <c r="L16" i="10" s="1"/>
  <c r="C54" i="8"/>
  <c r="D53" i="8"/>
  <c r="C58" i="8"/>
  <c r="M57" i="8"/>
  <c r="D18" i="7"/>
  <c r="D13" i="7"/>
  <c r="D89" i="11" s="1"/>
  <c r="G12" i="7"/>
  <c r="D7" i="12" l="1"/>
  <c r="F7" i="12" s="1"/>
  <c r="H7" i="12" s="1"/>
  <c r="M58" i="8"/>
  <c r="C65" i="8"/>
  <c r="C59" i="8"/>
  <c r="L19" i="10"/>
  <c r="L17" i="10"/>
  <c r="D25" i="12"/>
  <c r="F25" i="12" s="1"/>
  <c r="H25" i="12" s="1"/>
  <c r="D21" i="7"/>
  <c r="G18" i="7"/>
  <c r="D28" i="7"/>
  <c r="D19" i="7"/>
  <c r="D54" i="8"/>
  <c r="E53" i="8"/>
  <c r="D50" i="12"/>
  <c r="H11" i="7"/>
  <c r="F12" i="7"/>
  <c r="F30" i="8"/>
  <c r="E49" i="12"/>
  <c r="D20" i="12"/>
  <c r="F20" i="12" s="1"/>
  <c r="H20" i="12" s="1"/>
  <c r="C19" i="7"/>
  <c r="C90" i="11" s="1"/>
  <c r="C21" i="7"/>
  <c r="Q19" i="10"/>
  <c r="Q17" i="10"/>
  <c r="G17" i="10"/>
  <c r="G19" i="10"/>
  <c r="H19" i="10"/>
  <c r="H17" i="10"/>
  <c r="D30" i="12"/>
  <c r="F30" i="12" s="1"/>
  <c r="H30" i="12" s="1"/>
  <c r="E21" i="7"/>
  <c r="E19" i="7"/>
  <c r="E28" i="7"/>
  <c r="I25" i="6"/>
  <c r="D45" i="12"/>
  <c r="F45" i="12" s="1"/>
  <c r="H45" i="12" s="1"/>
  <c r="H27" i="8"/>
  <c r="F10" i="7"/>
  <c r="F31" i="8"/>
  <c r="F101" i="11" s="1"/>
  <c r="R17" i="10"/>
  <c r="R19" i="10"/>
  <c r="I19" i="10"/>
  <c r="I17" i="10"/>
  <c r="P19" i="10"/>
  <c r="P17" i="10"/>
  <c r="E92" i="10"/>
  <c r="I92" i="10" s="1"/>
  <c r="C107" i="11"/>
  <c r="E20" i="10"/>
  <c r="E93" i="10" s="1"/>
  <c r="I93" i="10" s="1"/>
  <c r="E22" i="10"/>
  <c r="M19" i="10"/>
  <c r="M17" i="10"/>
  <c r="D19" i="10"/>
  <c r="D51" i="12" s="1"/>
  <c r="F51" i="12" s="1"/>
  <c r="H51" i="12" s="1"/>
  <c r="D17" i="10"/>
  <c r="D52" i="10"/>
  <c r="O22" i="10"/>
  <c r="O20" i="10"/>
  <c r="K17" i="10"/>
  <c r="K19" i="10"/>
  <c r="J17" i="10"/>
  <c r="J19" i="10"/>
  <c r="N17" i="10"/>
  <c r="N19" i="10"/>
  <c r="C92" i="10"/>
  <c r="G92" i="10" s="1"/>
  <c r="C105" i="11"/>
  <c r="C22" i="10"/>
  <c r="C20" i="10"/>
  <c r="E44" i="12"/>
  <c r="C93" i="10" l="1"/>
  <c r="G93" i="10" s="1"/>
  <c r="O23" i="10"/>
  <c r="O24" i="10"/>
  <c r="O38" i="10" s="1"/>
  <c r="O39" i="10" s="1"/>
  <c r="C106" i="11"/>
  <c r="D92" i="10"/>
  <c r="H92" i="10" s="1"/>
  <c r="D20" i="10"/>
  <c r="D22" i="10"/>
  <c r="E23" i="10"/>
  <c r="E24" i="10" s="1"/>
  <c r="E38" i="10" s="1"/>
  <c r="I20" i="10"/>
  <c r="C52" i="10"/>
  <c r="I22" i="10"/>
  <c r="F9" i="9"/>
  <c r="E50" i="12"/>
  <c r="C50" i="10"/>
  <c r="G22" i="10"/>
  <c r="G20" i="10"/>
  <c r="C29" i="7"/>
  <c r="C23" i="7"/>
  <c r="D49" i="12"/>
  <c r="F49" i="12" s="1"/>
  <c r="H49" i="12" s="1"/>
  <c r="H30" i="8"/>
  <c r="E54" i="8"/>
  <c r="F53" i="8"/>
  <c r="C55" i="10"/>
  <c r="L22" i="10"/>
  <c r="L20" i="10"/>
  <c r="N20" i="10"/>
  <c r="D51" i="10"/>
  <c r="N22" i="10"/>
  <c r="K22" i="10"/>
  <c r="C54" i="10"/>
  <c r="K20" i="10"/>
  <c r="D55" i="10"/>
  <c r="R20" i="10"/>
  <c r="R22" i="10"/>
  <c r="F18" i="7"/>
  <c r="F13" i="7"/>
  <c r="F89" i="11" s="1"/>
  <c r="H12" i="7"/>
  <c r="D29" i="7"/>
  <c r="D23" i="7"/>
  <c r="M59" i="8"/>
  <c r="C60" i="8"/>
  <c r="J20" i="10"/>
  <c r="C53" i="10"/>
  <c r="J22" i="10"/>
  <c r="C23" i="10"/>
  <c r="C24" i="10"/>
  <c r="C38" i="10" s="1"/>
  <c r="D50" i="10"/>
  <c r="M20" i="10"/>
  <c r="M22" i="10"/>
  <c r="D53" i="10"/>
  <c r="P22" i="10"/>
  <c r="P20" i="10"/>
  <c r="E90" i="11"/>
  <c r="D7" i="11"/>
  <c r="D85" i="10"/>
  <c r="E31" i="7"/>
  <c r="C85" i="10"/>
  <c r="E8" i="11"/>
  <c r="D90" i="11"/>
  <c r="D31" i="7"/>
  <c r="E29" i="7"/>
  <c r="H19" i="5" s="1"/>
  <c r="E23" i="7"/>
  <c r="C51" i="10"/>
  <c r="H22" i="10"/>
  <c r="H20" i="10"/>
  <c r="D54" i="10"/>
  <c r="Q20" i="10"/>
  <c r="Q22" i="10"/>
  <c r="F50" i="12"/>
  <c r="H50" i="12" s="1"/>
  <c r="D107" i="11" l="1"/>
  <c r="E39" i="10"/>
  <c r="Q23" i="10"/>
  <c r="Q24" i="10"/>
  <c r="Q38" i="10" s="1"/>
  <c r="Q39" i="10" s="1"/>
  <c r="D26" i="12"/>
  <c r="F26" i="12" s="1"/>
  <c r="H26" i="12" s="1"/>
  <c r="D8" i="9"/>
  <c r="D32" i="7"/>
  <c r="G23" i="7"/>
  <c r="G23" i="10"/>
  <c r="G24" i="10" s="1"/>
  <c r="G38" i="10" s="1"/>
  <c r="G39" i="10" s="1"/>
  <c r="I23" i="10"/>
  <c r="I24" i="10" s="1"/>
  <c r="I38" i="10" s="1"/>
  <c r="I39" i="10" s="1"/>
  <c r="H23" i="10"/>
  <c r="H24" i="10" s="1"/>
  <c r="H38" i="10" s="1"/>
  <c r="H39" i="10" s="1"/>
  <c r="J23" i="10"/>
  <c r="J24" i="10" s="1"/>
  <c r="J38" i="10" s="1"/>
  <c r="J39" i="10" s="1"/>
  <c r="N24" i="10"/>
  <c r="N38" i="10" s="1"/>
  <c r="N39" i="10" s="1"/>
  <c r="N23" i="10"/>
  <c r="L23" i="10"/>
  <c r="L24" i="10"/>
  <c r="L38" i="10" s="1"/>
  <c r="L39" i="10" s="1"/>
  <c r="P23" i="10"/>
  <c r="P24" i="10" s="1"/>
  <c r="P38" i="10" s="1"/>
  <c r="P39" i="10" s="1"/>
  <c r="G76" i="10"/>
  <c r="C76" i="10"/>
  <c r="F75" i="10"/>
  <c r="E74" i="10"/>
  <c r="H73" i="10"/>
  <c r="D73" i="10"/>
  <c r="G72" i="10"/>
  <c r="C72" i="10"/>
  <c r="F71" i="10"/>
  <c r="D44" i="12"/>
  <c r="F44" i="12" s="1"/>
  <c r="H44" i="12" s="1"/>
  <c r="D76" i="10"/>
  <c r="E75" i="10"/>
  <c r="H74" i="10"/>
  <c r="C74" i="10"/>
  <c r="E73" i="10"/>
  <c r="D54" i="12" s="1"/>
  <c r="F72" i="10"/>
  <c r="H71" i="10"/>
  <c r="C71" i="10"/>
  <c r="F76" i="10"/>
  <c r="H75" i="10"/>
  <c r="H76" i="10"/>
  <c r="G75" i="10"/>
  <c r="G74" i="10"/>
  <c r="G73" i="10"/>
  <c r="H72" i="10"/>
  <c r="G71" i="10"/>
  <c r="E76" i="10"/>
  <c r="D75" i="10"/>
  <c r="F74" i="10"/>
  <c r="F73" i="10"/>
  <c r="E72" i="10"/>
  <c r="E71" i="10"/>
  <c r="D74" i="10"/>
  <c r="D72" i="10"/>
  <c r="C75" i="10"/>
  <c r="C73" i="10"/>
  <c r="D71" i="10"/>
  <c r="F28" i="7"/>
  <c r="C38" i="7" s="1"/>
  <c r="F38" i="7" s="1"/>
  <c r="F21" i="7"/>
  <c r="F19" i="7"/>
  <c r="H18" i="7"/>
  <c r="D31" i="12"/>
  <c r="F31" i="12" s="1"/>
  <c r="H31" i="12" s="1"/>
  <c r="E8" i="9"/>
  <c r="E32" i="7"/>
  <c r="O40" i="10"/>
  <c r="O42" i="10"/>
  <c r="O45" i="10" s="1"/>
  <c r="D105" i="11"/>
  <c r="C39" i="10"/>
  <c r="R23" i="10"/>
  <c r="R24" i="10" s="1"/>
  <c r="R38" i="10" s="1"/>
  <c r="R39" i="10" s="1"/>
  <c r="F54" i="8"/>
  <c r="G53" i="8"/>
  <c r="D21" i="12"/>
  <c r="F21" i="12" s="1"/>
  <c r="H21" i="12" s="1"/>
  <c r="C8" i="9"/>
  <c r="D23" i="10"/>
  <c r="D24" i="10" s="1"/>
  <c r="D38" i="10" s="1"/>
  <c r="M23" i="10"/>
  <c r="M24" i="10"/>
  <c r="M38" i="10" s="1"/>
  <c r="M39" i="10" s="1"/>
  <c r="C112" i="11"/>
  <c r="D59" i="12"/>
  <c r="F59" i="12" s="1"/>
  <c r="H59" i="12" s="1"/>
  <c r="C61" i="8"/>
  <c r="C64" i="8"/>
  <c r="M60" i="8"/>
  <c r="K23" i="10"/>
  <c r="K24" i="10"/>
  <c r="K38" i="10" s="1"/>
  <c r="K39" i="10" s="1"/>
  <c r="D93" i="10"/>
  <c r="H93" i="10" s="1"/>
  <c r="D106" i="11" l="1"/>
  <c r="D39" i="10"/>
  <c r="D52" i="12" s="1"/>
  <c r="F52" i="12" s="1"/>
  <c r="H52" i="12" s="1"/>
  <c r="H42" i="10"/>
  <c r="H45" i="10" s="1"/>
  <c r="E51" i="10"/>
  <c r="H40" i="10"/>
  <c r="F55" i="10"/>
  <c r="R40" i="10"/>
  <c r="R42" i="10"/>
  <c r="R45" i="10" s="1"/>
  <c r="F53" i="10"/>
  <c r="P42" i="10"/>
  <c r="P45" i="10" s="1"/>
  <c r="P40" i="10"/>
  <c r="E53" i="10"/>
  <c r="J40" i="10"/>
  <c r="J42" i="10"/>
  <c r="J45" i="10" s="1"/>
  <c r="G40" i="10"/>
  <c r="E50" i="10"/>
  <c r="G42" i="10"/>
  <c r="G45" i="10" s="1"/>
  <c r="F54" i="10"/>
  <c r="Q42" i="10"/>
  <c r="Q45" i="10" s="1"/>
  <c r="Q40" i="10"/>
  <c r="E55" i="10"/>
  <c r="L42" i="10"/>
  <c r="L45" i="10" s="1"/>
  <c r="L40" i="10"/>
  <c r="I42" i="10"/>
  <c r="I45" i="10" s="1"/>
  <c r="I40" i="10"/>
  <c r="E52" i="10"/>
  <c r="M42" i="10"/>
  <c r="M45" i="10" s="1"/>
  <c r="F50" i="10"/>
  <c r="G50" i="10" s="1"/>
  <c r="M40" i="10"/>
  <c r="C27" i="9"/>
  <c r="C11" i="9"/>
  <c r="C26" i="9" s="1"/>
  <c r="F90" i="11"/>
  <c r="D86" i="10"/>
  <c r="C86" i="10"/>
  <c r="E54" i="12"/>
  <c r="F54" i="12" s="1"/>
  <c r="H54" i="12" s="1"/>
  <c r="F31" i="7"/>
  <c r="C40" i="7" s="1"/>
  <c r="F40" i="7" s="1"/>
  <c r="G8" i="9"/>
  <c r="D27" i="9"/>
  <c r="D11" i="9"/>
  <c r="D26" i="9" s="1"/>
  <c r="E95" i="10"/>
  <c r="I95" i="10" s="1"/>
  <c r="E107" i="11"/>
  <c r="E40" i="10"/>
  <c r="E42" i="10"/>
  <c r="E45" i="10" s="1"/>
  <c r="K40" i="10"/>
  <c r="E54" i="10"/>
  <c r="K42" i="10"/>
  <c r="K45" i="10" s="1"/>
  <c r="D61" i="8"/>
  <c r="E61" i="8" s="1"/>
  <c r="F61" i="8" s="1"/>
  <c r="G61" i="8" s="1"/>
  <c r="H61" i="8" s="1"/>
  <c r="I61" i="8" s="1"/>
  <c r="J61" i="8" s="1"/>
  <c r="K61" i="8" s="1"/>
  <c r="L61" i="8" s="1"/>
  <c r="C68" i="8" s="1"/>
  <c r="G54" i="8"/>
  <c r="H53" i="8"/>
  <c r="E105" i="11"/>
  <c r="C95" i="10"/>
  <c r="G95" i="10" s="1"/>
  <c r="C42" i="10"/>
  <c r="C45" i="10" s="1"/>
  <c r="E47" i="12" s="1"/>
  <c r="C40" i="10"/>
  <c r="E46" i="12"/>
  <c r="F52" i="10"/>
  <c r="G52" i="10" s="1"/>
  <c r="E11" i="9"/>
  <c r="E26" i="9" s="1"/>
  <c r="H21" i="5" s="1"/>
  <c r="E27" i="9"/>
  <c r="F22" i="7"/>
  <c r="F29" i="7" s="1"/>
  <c r="C42" i="7" s="1"/>
  <c r="F42" i="7" s="1"/>
  <c r="F51" i="10"/>
  <c r="N40" i="10"/>
  <c r="N42" i="10"/>
  <c r="N45" i="10" s="1"/>
  <c r="F23" i="7" l="1"/>
  <c r="H54" i="8"/>
  <c r="I53" i="8"/>
  <c r="G51" i="10"/>
  <c r="C69" i="8"/>
  <c r="G54" i="10"/>
  <c r="G55" i="10"/>
  <c r="E106" i="11"/>
  <c r="D42" i="10"/>
  <c r="D45" i="10" s="1"/>
  <c r="D95" i="10"/>
  <c r="H95" i="10" s="1"/>
  <c r="D40" i="10"/>
  <c r="G53" i="10"/>
  <c r="H54" i="10" l="1"/>
  <c r="H53" i="10"/>
  <c r="H51" i="10"/>
  <c r="H52" i="10"/>
  <c r="I54" i="8"/>
  <c r="J53" i="8"/>
  <c r="H55" i="10"/>
  <c r="H50" i="10"/>
  <c r="F12" i="9"/>
  <c r="F8" i="9"/>
  <c r="H8" i="9" s="1"/>
  <c r="F32" i="7"/>
  <c r="H23" i="7"/>
  <c r="J54" i="8" l="1"/>
  <c r="K53" i="8"/>
  <c r="F94" i="11"/>
  <c r="E48" i="12"/>
  <c r="F14" i="9"/>
  <c r="F22" i="9"/>
  <c r="F27" i="9"/>
  <c r="H12" i="9"/>
  <c r="F24" i="9"/>
  <c r="K54" i="8" l="1"/>
  <c r="L53" i="8"/>
  <c r="F96" i="11"/>
  <c r="H66" i="10"/>
  <c r="D66" i="10"/>
  <c r="G65" i="10"/>
  <c r="C65" i="10"/>
  <c r="F64" i="10"/>
  <c r="E63" i="10"/>
  <c r="H62" i="10"/>
  <c r="D62" i="10"/>
  <c r="D48" i="12"/>
  <c r="F48" i="12" s="1"/>
  <c r="H48" i="12" s="1"/>
  <c r="C66" i="10"/>
  <c r="E65" i="10"/>
  <c r="G64" i="10"/>
  <c r="D63" i="10"/>
  <c r="F62" i="10"/>
  <c r="H61" i="10"/>
  <c r="D61" i="10"/>
  <c r="E53" i="12"/>
  <c r="D46" i="12"/>
  <c r="F46" i="12" s="1"/>
  <c r="H46" i="12" s="1"/>
  <c r="G66" i="10"/>
  <c r="H65" i="10"/>
  <c r="H64" i="10"/>
  <c r="C63" i="10"/>
  <c r="C62" i="10"/>
  <c r="E61" i="10"/>
  <c r="F66" i="10"/>
  <c r="F65" i="10"/>
  <c r="E64" i="10"/>
  <c r="D53" i="12" s="1"/>
  <c r="H63" i="10"/>
  <c r="C61" i="10"/>
  <c r="L7" i="11"/>
  <c r="E66" i="10"/>
  <c r="D65" i="10"/>
  <c r="D64" i="10"/>
  <c r="G63" i="10"/>
  <c r="G62" i="10"/>
  <c r="G61" i="10"/>
  <c r="C64" i="10"/>
  <c r="E62" i="10"/>
  <c r="F16" i="9"/>
  <c r="F19" i="9" s="1"/>
  <c r="D47" i="12" s="1"/>
  <c r="F47" i="12" s="1"/>
  <c r="H47" i="12" s="1"/>
  <c r="F61" i="10"/>
  <c r="F23" i="9"/>
  <c r="F63" i="10"/>
  <c r="C41" i="7"/>
  <c r="H14" i="9"/>
  <c r="M8" i="11" s="1"/>
  <c r="C83" i="10"/>
  <c r="C84" i="10"/>
  <c r="C82" i="10"/>
  <c r="D63" i="12" l="1"/>
  <c r="F63" i="12" s="1"/>
  <c r="H63" i="12" s="1"/>
  <c r="F41" i="7"/>
  <c r="D61" i="12"/>
  <c r="F61" i="12" s="1"/>
  <c r="H61" i="12" s="1"/>
  <c r="F53" i="12"/>
  <c r="H53" i="12" s="1"/>
  <c r="D58" i="12"/>
  <c r="F58" i="12" s="1"/>
  <c r="H58" i="12" s="1"/>
  <c r="L54" i="8"/>
  <c r="C67" i="8" s="1"/>
  <c r="D62" i="12"/>
  <c r="F62" i="12" s="1"/>
  <c r="H62" i="12" s="1"/>
  <c r="D64" i="12"/>
  <c r="F64" i="12" s="1"/>
  <c r="H64" i="12" s="1"/>
  <c r="B4" i="12" l="1"/>
  <c r="B4" i="11" s="1"/>
  <c r="A4" i="1" l="1"/>
</calcChain>
</file>

<file path=xl/sharedStrings.xml><?xml version="1.0" encoding="utf-8"?>
<sst xmlns="http://schemas.openxmlformats.org/spreadsheetml/2006/main" count="2022" uniqueCount="1054">
  <si>
    <t>Microsoft Financial Forecast and AI Investment Model</t>
  </si>
  <si>
    <t>Corporate FP&amp;A portfolio project. Built with public information only. Author: Kleivin Gjuzi.</t>
  </si>
  <si>
    <t>DATA TYPE: READ FIRST - data types, fiscal calendar, definitions and limits of the workbook.</t>
  </si>
  <si>
    <t>Purpose</t>
  </si>
  <si>
    <t>Analyse Microsoft's reported revenue, segments, margins, operating cash flow, capital expenditures and free cash flow for fiscal years 2024-2026, forecast fiscal year 2027 with drivers under three scenarios, and show with an illustrative scenario how extra capital investment affects cash flow now and depreciation later.</t>
  </si>
  <si>
    <t>Research cut-off</t>
  </si>
  <si>
    <t>October 11, 2026. Latest reported period: fourth quarter and fiscal year 2026 (released July 29, 2026). First-quarter fiscal 2027 results had not been published at the cut-off.</t>
  </si>
  <si>
    <t>Fiscal calendar</t>
  </si>
  <si>
    <t>Microsoft's fiscal year ends June 30. FY2026 = July 1, 2025 to June 30, 2026. Q1 = July-September, Q2 = October-December, Q3 = January-March, Q4 = April-June. FY2027E = July 1, 2026 to June 30, 2027.</t>
  </si>
  <si>
    <t>Accounting basis</t>
  </si>
  <si>
    <t>US GAAP. Fiscal-year figures tie to the audited Form 10-K; quarterly figures come from Microsoft's unaudited earnings-release workbooks. Currency: USD. Unit: USD millions unless stated.</t>
  </si>
  <si>
    <t>Data types - keep them apart</t>
  </si>
  <si>
    <t>REPORTED: copied from a Microsoft publication (Historical_Financials, blue font).  DERIVED: calculated from reported figures (fiscal-year sums, ratios, the cost split described below).  MANAGEMENT GUIDANCE: forward-looking statements from the July 29, 2026 earnings call (table tblGuidance); never used as actuals.  ANALYST ASSUMPTION: the author's inputs (yellow cells on Assumptions).  FORECAST / SCENARIO: results of those assumptions (columns marked E).</t>
  </si>
  <si>
    <t>GAAP and non-GAAP</t>
  </si>
  <si>
    <t>Revenue, cost of revenue, gross margin, operating income, net income, net cash from operations and additions to property and equipment are GAAP line items. Free cash flow (operating cash flow less additions to property and equipment) is NON-GAAP. 'Cost of revenue net of D&amp;A', 'free cash flow after finance lease principal' and 'cash remaining after shareholder returns' are the author's analytical measures, not Microsoft's. Microsoft's own non-GAAP net income (excluding OpenAI impacts) is not used.</t>
  </si>
  <si>
    <t>Quarterly vs year-to-date cash flows</t>
  </si>
  <si>
    <t>Microsoft publishes cash flows for the three months ended and for the fiscal year to date. tblQ holds three-month figures; tblYTD holds year-to-date figures. Checks confirm that the running three-month total equals the year-to-date figure in every quarter.</t>
  </si>
  <si>
    <t>Capital expenditure vs leases</t>
  </si>
  <si>
    <t>Cash capex = 'additions to property and equipment' in the cash flow statement. Finance lease additions are non-cash: they increase property and equipment and future depreciation and are repaid through financing cash flows, so they are never deducted in free cash flow. Operating leases are not capital expenditure. Microsoft's own metric 'capital expenditures including finance leases' is shown for reference; the model does not add it to cash capex, which avoids double counting.</t>
  </si>
  <si>
    <t>Cost split simplification</t>
  </si>
  <si>
    <t>Microsoft does not disclose how depreciation and amortization (D&amp;A) is divided between cost of revenue and operating expenses. For the forecast, all D&amp;A is treated as part of cost of revenue: cost of revenue = cost of revenue net of D&amp;A + D&amp;A. This makes depreciation flow to operating income one for one. It understates the true cash cost of revenue because part of D&amp;A sits in operating expenses.</t>
  </si>
  <si>
    <t>Recast warning</t>
  </si>
  <si>
    <t>In fiscal 2026 Microsoft recast the cash flow line 'Depreciation, amortization, and other' for prior periods (FY2025: 34,153 as first reported, 29,433 as recast). The model uses the recast annual figures from the FY2026 Form 10-K and does not use quarterly D&amp;A, because a consistent quarterly series is not available for FY2024.</t>
  </si>
  <si>
    <t>AI investment</t>
  </si>
  <si>
    <t>Microsoft does not separately disclose AI revenue, AI costs or AI invested capital. The incremental-capex block is therefore a scenario model with stated assumptions. It is not a reconstruction of Microsoft's actual AI economics and does not calculate an actual return on AI investment.</t>
  </si>
  <si>
    <t>How to use</t>
  </si>
  <si>
    <t>1) Pick a scenario in Assumptions!C4.  2) Edit yellow cells only.  3) Read results on the four forecast sheets, Scenarios and Dashboard.  4) Confirm that Checks shows no FAIL.</t>
  </si>
  <si>
    <t>Colour code</t>
  </si>
  <si>
    <t>Blue font = reported figure or typed input.  Yellow fill = editable assumption.  Black = formula.  Orange header = forecast column.  Grey fill = subtotal.</t>
  </si>
  <si>
    <t>What is not modelled</t>
  </si>
  <si>
    <t>Balance sheet other than property and equipment, debt and interest, share count and earnings per share, quarterly phasing of FY2027, foreign-exchange effects, tax depreciation, and investment gains or losses (including items related to the OpenAI investment).</t>
  </si>
  <si>
    <t>How the file was produced</t>
  </si>
  <si>
    <t>The workbook is generated from the CSV files in /data by the Python scripts in /code. Every calculation is an Excel formula; no result is typed in. The file was then recalculated and saved in Excel. See validation_results.csv for what was tested in Excel and what was tested by an independent recalculation.</t>
  </si>
  <si>
    <t>Disclaimer</t>
  </si>
  <si>
    <t>Educational portfolio work based on public information. Forecasts and scenarios are illustrative, not company guidance and not investment advice. Not affiliated with or endorsed by Microsoft Corporation.</t>
  </si>
  <si>
    <t>Sources</t>
  </si>
  <si>
    <t>Every reported figure in the workbook traces to one of these documents. Research cut-off: October 11, 2026.</t>
  </si>
  <si>
    <t>DATA TYPE: DOCUMENTATION - official Microsoft investor-relations publications and SEC filing only.</t>
  </si>
  <si>
    <t>Source Id</t>
  </si>
  <si>
    <t>Document Title</t>
  </si>
  <si>
    <t>Publisher</t>
  </si>
  <si>
    <t>Publication Date</t>
  </si>
  <si>
    <t>Reporting Period</t>
  </si>
  <si>
    <t>Url</t>
  </si>
  <si>
    <t>Sheet Or Section Reference</t>
  </si>
  <si>
    <t>Currency</t>
  </si>
  <si>
    <t>Unit</t>
  </si>
  <si>
    <t>Accounting Basis</t>
  </si>
  <si>
    <t>Audit Status</t>
  </si>
  <si>
    <t>Extraction Method</t>
  </si>
  <si>
    <t>Used For</t>
  </si>
  <si>
    <t>Accessed Date</t>
  </si>
  <si>
    <t>S01</t>
  </si>
  <si>
    <t>Microsoft Financial Data - FY24Q1 (earnings release financial statements workbook)</t>
  </si>
  <si>
    <t>Microsoft Corporation, Investor Relations</t>
  </si>
  <si>
    <t>Published with the FY24Q1 earnings release; release day not verified; file last modified 2023-10-24</t>
  </si>
  <si>
    <t>Quarter ended September 30, 2023</t>
  </si>
  <si>
    <t>https://cdn-dynmedia-1.microsoft.com/is/content/microsoftcorp/FinancialStatementFY24Q1.xlsx</t>
  </si>
  <si>
    <t>Sheets: Income Statements, Balance Sheets, Cash Flows</t>
  </si>
  <si>
    <t>USD</t>
  </si>
  <si>
    <t>USD millions (CapEx trended sheet: USD billions)</t>
  </si>
  <si>
    <t>US GAAP (stated in the Form 10-K, S14)</t>
  </si>
  <si>
    <t>Unaudited (as labelled in the file)</t>
  </si>
  <si>
    <t>Automated cell read by row label (openpyxl), code/01_extract_data.py</t>
  </si>
  <si>
    <t>Three-month and year-to-date income statement and cash flow lines; quarter-end balances</t>
  </si>
  <si>
    <t>2026-10-11</t>
  </si>
  <si>
    <t>S02</t>
  </si>
  <si>
    <t>Microsoft Financial Data - FY24Q2 (earnings release financial statements workbook)</t>
  </si>
  <si>
    <t>Published with the FY24Q2 earnings release; release day not verified; file last modified 2024-01-23</t>
  </si>
  <si>
    <t>Quarter and six months ended December 31, 2023</t>
  </si>
  <si>
    <t>https://cdn-dynmedia-1.microsoft.com/is/content/microsoftcorp/FinancialStatementFY24Q2.xlsx</t>
  </si>
  <si>
    <t>S03</t>
  </si>
  <si>
    <t>Microsoft Financial Data - FY24Q3 (earnings release financial statements workbook)</t>
  </si>
  <si>
    <t>Published with the FY24Q3 earnings release; release day not verified; file last modified 2024-04-17</t>
  </si>
  <si>
    <t>Quarter and nine months ended March 31, 2024</t>
  </si>
  <si>
    <t>https://cdn-dynmedia-1.microsoft.com/is/content/microsoftcorp/FinancialStatementFY24Q3.xlsx</t>
  </si>
  <si>
    <t>S04</t>
  </si>
  <si>
    <t>Microsoft Financial Data - FY24Q4 (earnings release financial statements workbook)</t>
  </si>
  <si>
    <t>Published with the FY24Q4 earnings release; release day not verified; file last modified 2024-07-24</t>
  </si>
  <si>
    <t>Quarter and fiscal year ended June 30, 2024</t>
  </si>
  <si>
    <t>https://cdn-dynmedia-1.microsoft.com/is/content/microsoftcorp/FinancialStatementFY24Q4.xlsx</t>
  </si>
  <si>
    <t>S05</t>
  </si>
  <si>
    <t>Microsoft Financial Data - FY25Q1 (earnings release financial statements workbook)</t>
  </si>
  <si>
    <t>Published with the FY25Q1 earnings release; release day not verified; file last modified 2024-10-29</t>
  </si>
  <si>
    <t>Quarter ended September 30, 2024</t>
  </si>
  <si>
    <t>https://cdn-dynmedia-1.microsoft.com/is/content/microsoftcorp/FinancialStatementFY25Q1.xlsx</t>
  </si>
  <si>
    <t>S06</t>
  </si>
  <si>
    <t>Microsoft Financial Data - FY25Q2 (earnings release financial statements workbook)</t>
  </si>
  <si>
    <t>Published with the FY25Q2 earnings release; release day not verified; file last modified 2025-01-23</t>
  </si>
  <si>
    <t>Quarter and six months ended December 31, 2024</t>
  </si>
  <si>
    <t>https://cdn-dynmedia-1.microsoft.com/is/content/microsoftcorp/FinancialStatementFY25Q2.xlsx</t>
  </si>
  <si>
    <t>S07</t>
  </si>
  <si>
    <t>Microsoft Financial Data - FY25Q3 (earnings release financial statements workbook)</t>
  </si>
  <si>
    <t>Published with the FY25Q3 earnings release; release day not verified; file last modified 2025-04-23</t>
  </si>
  <si>
    <t>Quarter and nine months ended March 31, 2025</t>
  </si>
  <si>
    <t>https://cdn-dynmedia-1.microsoft.com/is/content/microsoftcorp/FinancialStatementFY25Q3.xlsx</t>
  </si>
  <si>
    <t>S08</t>
  </si>
  <si>
    <t>Microsoft Financial Data - FY25Q4 (earnings release financial statements workbook)</t>
  </si>
  <si>
    <t>Published with the FY25Q4 earnings release; release day not verified; file last modified 2025-07-25</t>
  </si>
  <si>
    <t>Quarter and fiscal year ended June 30, 2025</t>
  </si>
  <si>
    <t>https://cdn-dynmedia-1.microsoft.com/is/content/microsoftcorp/FinancialStatementFY25q4</t>
  </si>
  <si>
    <t>Sheets: Income Statements, Balance Sheets, Cash Flows; trended sheets Quarterly Income Statements, Segment History, Products &amp; Services History, CapEx</t>
  </si>
  <si>
    <t>Three-month and year-to-date income statement and cash flow lines; quarter-end balances; FY2024 segment revenue and operating income</t>
  </si>
  <si>
    <t>S09</t>
  </si>
  <si>
    <t>Microsoft Financial Data - FY26Q1 (earnings release financial statements workbook)</t>
  </si>
  <si>
    <t>Published with the FY26Q1 earnings release; release day not verified; file last modified 2025-10-28</t>
  </si>
  <si>
    <t>Quarter ended September 30, 2025</t>
  </si>
  <si>
    <t>https://cdn-dynmedia-1.microsoft.com/is/content/microsoftcorp/FinancialStatementFY26Q1.xlsx</t>
  </si>
  <si>
    <t>S10</t>
  </si>
  <si>
    <t>Microsoft Financial Data - FY26Q2 (earnings release financial statements workbook)</t>
  </si>
  <si>
    <t>Published with the FY26Q2 earnings release; release day not verified; file last modified 2026-01-27</t>
  </si>
  <si>
    <t>Quarter and six months ended December 31, 2025</t>
  </si>
  <si>
    <t>https://cdn-dynmedia-1.microsoft.com/is/content/microsoftcorp/FinancialStatementFY26q2</t>
  </si>
  <si>
    <t>S11</t>
  </si>
  <si>
    <t>Microsoft Financial Data - FY26Q3 (earnings release financial statements workbook)</t>
  </si>
  <si>
    <t>Published with the FY26Q3 earnings release; release day not verified; file last modified 2026-04-27</t>
  </si>
  <si>
    <t>Quarter and nine months ended March 31, 2026</t>
  </si>
  <si>
    <t>https://cdn-dynmedia-1.microsoft.com/is/content/microsoftcorp/FinancialStatementFY26q3</t>
  </si>
  <si>
    <t>S12</t>
  </si>
  <si>
    <t>Microsoft Financial Data - FY26Q4 (earnings release financial statements workbook)</t>
  </si>
  <si>
    <t>Published with the FY26Q4 earnings release on 2026-07-29 (date on the release); file last modified 2026-07-22</t>
  </si>
  <si>
    <t>Quarter and fiscal year ended June 30, 2026</t>
  </si>
  <si>
    <t>https://cdn-dynmedia-1.microsoft.com/is/content/microsoftcorp/FinancialStatementFY26Q4.xlsx</t>
  </si>
  <si>
    <t>Three-month and year-to-date income statement and cash flow lines; quarter-end balances; segment, product and capex history</t>
  </si>
  <si>
    <t>S13</t>
  </si>
  <si>
    <t>Investor Metrics FY26 Q4 (workbook)</t>
  </si>
  <si>
    <t>Published with the FY26 Q4 earnings release (2026-07-29); file last modified 2026-07-14</t>
  </si>
  <si>
    <t>Q4 FY25 - Q4 FY26 and fiscal years 2025-2026</t>
  </si>
  <si>
    <t>https://cdn-dynmedia-1.microsoft.com/is/content/microsoftcorp/Metrics_FY26Q4.xlsx</t>
  </si>
  <si>
    <t>Investor metrics table</t>
  </si>
  <si>
    <t>USD billions and percentages</t>
  </si>
  <si>
    <t>Company-defined metrics; constant-currency growth rates are non-GAAP</t>
  </si>
  <si>
    <t>Unaudited</t>
  </si>
  <si>
    <t>Read for context only</t>
  </si>
  <si>
    <t>Context for findings (Microsoft Cloud revenue, Azure growth); no model input</t>
  </si>
  <si>
    <t>S14</t>
  </si>
  <si>
    <t>Annual Report on Form 10-K for the fiscal year ended June 30, 2026</t>
  </si>
  <si>
    <t>Microsoft Corporation (filed with the US Securities and Exchange Commission)</t>
  </si>
  <si>
    <t>2026-07-29 (date of the auditor's report and document)</t>
  </si>
  <si>
    <t>Fiscal years 2024-2026</t>
  </si>
  <si>
    <t>https://cdn-dynmedia-1.microsoft.com/is/content/microsoftcorp/MSFT_FY26Q4_10K.docx</t>
  </si>
  <si>
    <t>Item 8: Income Statements, Cash Flows Statements; Note 1 (accounting policies, recast); Note 6 (Property and Equipment); Note 13 (Leases)</t>
  </si>
  <si>
    <t>USD millions (some note amounts in USD billions)</t>
  </si>
  <si>
    <t>US GAAP</t>
  </si>
  <si>
    <t>Audited (Deloitte &amp; Touche LLP)</t>
  </si>
  <si>
    <t>Manual transcription from the document text; every number re-found in the text by script (code/04_validate.py)</t>
  </si>
  <si>
    <t>Annual statement lines, D&amp;A, depreciation expense, lease disclosures, property and equipment by class</t>
  </si>
  <si>
    <t>S15</t>
  </si>
  <si>
    <t>Press release: Microsoft Cloud and AI Strength Fuels Fourth Quarter Results</t>
  </si>
  <si>
    <t>Microsoft Corporation</t>
  </si>
  <si>
    <t>2026-07-29</t>
  </si>
  <si>
    <t>https://cdn-dynmedia-1.microsoft.com/is/content/microsoftcorp/PressReleaseFY26Q4.docx</t>
  </si>
  <si>
    <t>Headline results; GAAP to non-GAAP reconciliation</t>
  </si>
  <si>
    <t>USD billions / millions</t>
  </si>
  <si>
    <t>US GAAP with non-GAAP measures reconciled by the company</t>
  </si>
  <si>
    <t>Read from the document text</t>
  </si>
  <si>
    <t>GAAP versus non-GAAP context (non-GAAP excludes the impact of investments in OpenAI)</t>
  </si>
  <si>
    <t>S16</t>
  </si>
  <si>
    <t>Earnings call transcript, fiscal year 2026 fourth quarter</t>
  </si>
  <si>
    <t>Call held 2026-07-29; transcript file last modified 2026-07-30</t>
  </si>
  <si>
    <t>Q4 FY26 results; outlook for FY2027 and Q1 FY2027</t>
  </si>
  <si>
    <t>https://cdn-dynmedia-1.microsoft.com/is/content/microsoftcorp/TranscriptFY26Q4.docx</t>
  </si>
  <si>
    <t>Chief financial officer's prepared remarks (results, useful-life change, outlook)</t>
  </si>
  <si>
    <t>Forward-looking statements by management, not GAAP figures</t>
  </si>
  <si>
    <t>Not applicable (guidance)</t>
  </si>
  <si>
    <t>Manual transcription; every figure re-found in the text by script</t>
  </si>
  <si>
    <t>MANAGEMENT GUIDANCE (tblGuidance) and call disclosures (tblCall). Never used as actuals</t>
  </si>
  <si>
    <t>S17</t>
  </si>
  <si>
    <t>Outlook slides FY27 Q1</t>
  </si>
  <si>
    <t>File last modified 2026-07-28</t>
  </si>
  <si>
    <t>Q1 FY2027 outlook</t>
  </si>
  <si>
    <t>https://cdn-dynmedia-1.microsoft.com/is/content/microsoftcorp/OutlookFY27Q1.pptx</t>
  </si>
  <si>
    <t>Slides are images without a text layer</t>
  </si>
  <si>
    <t>n/a</t>
  </si>
  <si>
    <t>Forward-looking</t>
  </si>
  <si>
    <t>Not applicable</t>
  </si>
  <si>
    <t>Could not be read by script; NOT used</t>
  </si>
  <si>
    <t>Not used. Guidance was taken from the transcript (S16) instead</t>
  </si>
  <si>
    <t>Historical financials - Microsoft Corporation (reported figures)</t>
  </si>
  <si>
    <t>USD millions unless stated. Fiscal year ends June 30: Q1 = Jul-Sep, Q2 = Oct-Dec, Q3 = Jan-Mar, Q4 = Apr-Jun. Signs as published (cash outflows negative). Blank = not published in the downloaded files (never a zero).</t>
  </si>
  <si>
    <t>DATA TYPE: REPORTED FIGURES copied from Microsoft publications (see Sources). One table holds MANAGEMENT GUIDANCE and is labelled as such. No analyst estimates on this sheet.</t>
  </si>
  <si>
    <t>Table tblQ - quarterly figures: income statement and cash flow lines are for the THREE MONTHS ended; balances are at quarter end</t>
  </si>
  <si>
    <t>Code</t>
  </si>
  <si>
    <t>Line item</t>
  </si>
  <si>
    <t>Basis</t>
  </si>
  <si>
    <t>Q1 FY24</t>
  </si>
  <si>
    <t>Q2 FY24</t>
  </si>
  <si>
    <t>Q3 FY24</t>
  </si>
  <si>
    <t>Q4 FY24</t>
  </si>
  <si>
    <t>Q1 FY25</t>
  </si>
  <si>
    <t>Q2 FY25</t>
  </si>
  <si>
    <t>Q3 FY25</t>
  </si>
  <si>
    <t>Q4 FY25</t>
  </si>
  <si>
    <t>Q1 FY26</t>
  </si>
  <si>
    <t>Q2 FY26</t>
  </si>
  <si>
    <t>Q3 FY26</t>
  </si>
  <si>
    <t>Q4 FY26</t>
  </si>
  <si>
    <t>Source</t>
  </si>
  <si>
    <t>REV_PRODUCT</t>
  </si>
  <si>
    <t>Revenue - product</t>
  </si>
  <si>
    <t>USD m</t>
  </si>
  <si>
    <t>three months ended</t>
  </si>
  <si>
    <t>S01-S12: each quarter from the latest file that shows it (following year's comparative column where available)</t>
  </si>
  <si>
    <t>REV_SERVICE</t>
  </si>
  <si>
    <t>Revenue - service and other</t>
  </si>
  <si>
    <t>S01-S12</t>
  </si>
  <si>
    <t>REVENUE</t>
  </si>
  <si>
    <t>Total revenue</t>
  </si>
  <si>
    <t>COGS</t>
  </si>
  <si>
    <t>Total cost of revenue</t>
  </si>
  <si>
    <t>GROSS_MARGIN</t>
  </si>
  <si>
    <t>Gross margin</t>
  </si>
  <si>
    <t>RD</t>
  </si>
  <si>
    <t>Research and development</t>
  </si>
  <si>
    <t>SM</t>
  </si>
  <si>
    <t>Sales and marketing</t>
  </si>
  <si>
    <t>GA</t>
  </si>
  <si>
    <t>General and administrative</t>
  </si>
  <si>
    <t>OP_INCOME</t>
  </si>
  <si>
    <t>Operating income</t>
  </si>
  <si>
    <t>OTHER_INC</t>
  </si>
  <si>
    <t>Other income (expense), net</t>
  </si>
  <si>
    <t>PRETAX</t>
  </si>
  <si>
    <t>Income before income taxes</t>
  </si>
  <si>
    <t>TAX</t>
  </si>
  <si>
    <t>Provision for income taxes</t>
  </si>
  <si>
    <t>NET_INCOME</t>
  </si>
  <si>
    <t>Net income</t>
  </si>
  <si>
    <t>EPS_DILUTED</t>
  </si>
  <si>
    <t>Diluted earnings per share (USD)</t>
  </si>
  <si>
    <t>SBC</t>
  </si>
  <si>
    <t>Stock-based compensation expense</t>
  </si>
  <si>
    <t>OCF</t>
  </si>
  <si>
    <t>Net cash from operations</t>
  </si>
  <si>
    <t>CAPEX_CASH</t>
  </si>
  <si>
    <t>Additions to property and equipment (cash paid; negative = outflow)</t>
  </si>
  <si>
    <t>DIVIDENDS</t>
  </si>
  <si>
    <t>Common stock cash dividends paid</t>
  </si>
  <si>
    <t>BUYBACKS</t>
  </si>
  <si>
    <t>Common stock repurchased</t>
  </si>
  <si>
    <t>CASH_STI</t>
  </si>
  <si>
    <t>Total cash, cash equivalents, and short-term investments (period end)</t>
  </si>
  <si>
    <t>period end</t>
  </si>
  <si>
    <t>TOTAL_ASSETS</t>
  </si>
  <si>
    <t>Total assets (period end)</t>
  </si>
  <si>
    <t>TOTAL_LIAB_EQ</t>
  </si>
  <si>
    <t>Total liabilities and stockholders' equity (period end)</t>
  </si>
  <si>
    <t>PPE_NET</t>
  </si>
  <si>
    <t>Property and equipment, net (period end)</t>
  </si>
  <si>
    <t>PPE_ACCUM_DEP</t>
  </si>
  <si>
    <t>Accumulated depreciation of property and equipment (period end)</t>
  </si>
  <si>
    <t>CAPEX_INCL_FL_BN</t>
  </si>
  <si>
    <t>Capital expenditures including assets acquired under finance leases (USD billions, IR trended file)</t>
  </si>
  <si>
    <t>USD bn</t>
  </si>
  <si>
    <t>Table tblSeg - segment results, three months ended (current segment structure; FY24 as recast by Microsoft)</t>
  </si>
  <si>
    <t>Segment</t>
  </si>
  <si>
    <t>Measure</t>
  </si>
  <si>
    <t>PBP_REV</t>
  </si>
  <si>
    <t>Productivity and Business Processes</t>
  </si>
  <si>
    <t>Revenue</t>
  </si>
  <si>
    <t>S12 (FY25-FY26), S08 (FY24, recast; revenue and operating income only)</t>
  </si>
  <si>
    <t>PBP_COGS</t>
  </si>
  <si>
    <t>Cost of revenue</t>
  </si>
  <si>
    <t>PBP_OPEX</t>
  </si>
  <si>
    <t>Operating expenses</t>
  </si>
  <si>
    <t>PBP_OI</t>
  </si>
  <si>
    <t>IC_REV</t>
  </si>
  <si>
    <t>Intelligent Cloud</t>
  </si>
  <si>
    <t>IC_COGS</t>
  </si>
  <si>
    <t>IC_OPEX</t>
  </si>
  <si>
    <t>IC_OI</t>
  </si>
  <si>
    <t>MPC_REV</t>
  </si>
  <si>
    <t>More Personal Computing</t>
  </si>
  <si>
    <t>MPC_COGS</t>
  </si>
  <si>
    <t>MPC_OPEX</t>
  </si>
  <si>
    <t>MPC_OI</t>
  </si>
  <si>
    <t>TOTAL_REV</t>
  </si>
  <si>
    <t>Total</t>
  </si>
  <si>
    <t>TOTAL_COGS</t>
  </si>
  <si>
    <t>TOTAL_OPEX</t>
  </si>
  <si>
    <t>TOTAL_OI</t>
  </si>
  <si>
    <t>Table tblProd - revenue by significant product and service offering, three months ended</t>
  </si>
  <si>
    <t>P01</t>
  </si>
  <si>
    <t>Server products and cloud services</t>
  </si>
  <si>
    <t>S12, sheet Products &amp; Services History</t>
  </si>
  <si>
    <t>P02</t>
  </si>
  <si>
    <t>Microsoft 365 Commercial products and cloud services</t>
  </si>
  <si>
    <t>P03</t>
  </si>
  <si>
    <t>XBOX</t>
  </si>
  <si>
    <t>P04</t>
  </si>
  <si>
    <t>LinkedIn</t>
  </si>
  <si>
    <t>P05</t>
  </si>
  <si>
    <t>Windows and Devices</t>
  </si>
  <si>
    <t>P06</t>
  </si>
  <si>
    <t>Search advertising</t>
  </si>
  <si>
    <t>P07</t>
  </si>
  <si>
    <t>Microsoft 365 Consumer products and cloud services</t>
  </si>
  <si>
    <t>P08</t>
  </si>
  <si>
    <t>Dynamics products and cloud services</t>
  </si>
  <si>
    <t>P09</t>
  </si>
  <si>
    <t>Enterprise and partner services</t>
  </si>
  <si>
    <t>P10</t>
  </si>
  <si>
    <t>Other</t>
  </si>
  <si>
    <t>P11</t>
  </si>
  <si>
    <t>Table tblYTD - cash flow lines for the FISCAL YEAR TO DATE, as first reported each quarter (Q1 = 3 months, Q2 = 6, Q3 = 9, Q4 = 12 months)</t>
  </si>
  <si>
    <t>fiscal year to date, as first reported</t>
  </si>
  <si>
    <t>S01-S12: each quarter's own file</t>
  </si>
  <si>
    <t>Table tblAnnual - fiscal-year figures from the Form 10-K and year-end balance sheets</t>
  </si>
  <si>
    <t>Item</t>
  </si>
  <si>
    <t>FY2023</t>
  </si>
  <si>
    <t>FY2024</t>
  </si>
  <si>
    <t>FY2025</t>
  </si>
  <si>
    <t>FY2026</t>
  </si>
  <si>
    <t>Reference</t>
  </si>
  <si>
    <t>K_REVENUE</t>
  </si>
  <si>
    <t>Total revenue (Form 10-K income statements)</t>
  </si>
  <si>
    <t>Item 8 Income Statements</t>
  </si>
  <si>
    <t>K_OP_INCOME</t>
  </si>
  <si>
    <t>Operating income (Form 10-K income statements)</t>
  </si>
  <si>
    <t>K_NET_INCOME</t>
  </si>
  <si>
    <t>Net income (Form 10-K income statements)</t>
  </si>
  <si>
    <t>K_OCF</t>
  </si>
  <si>
    <t>Net cash from operations (Form 10-K cash flows statements)</t>
  </si>
  <si>
    <t>Item 8 Cash Flows Statements</t>
  </si>
  <si>
    <t>K_CAPEX_CASH</t>
  </si>
  <si>
    <t>Additions to property and equipment (Form 10-K cash flows statements; negative = outflow)</t>
  </si>
  <si>
    <t>DA_CF</t>
  </si>
  <si>
    <t>Depreciation, amortization, and other (cash flows statements; prior years recast in the FY2026 10-K)</t>
  </si>
  <si>
    <t>Item 8 Cash Flows Statements and Note 1 Recast of Certain Prior Period Information</t>
  </si>
  <si>
    <t>DEP_PPE</t>
  </si>
  <si>
    <t>Depreciation expense on property and equipment (reported in USD billions to one decimal)</t>
  </si>
  <si>
    <t>Note 6 Property and Equipment</t>
  </si>
  <si>
    <t>FL_ROU_OBTAINED</t>
  </si>
  <si>
    <t>Right-of-use assets obtained in exchange for lease obligations - finance leases (non-cash)</t>
  </si>
  <si>
    <t>Note 13 Leases supplemental cash flow information</t>
  </si>
  <si>
    <t>OL_ROU_OBTAINED</t>
  </si>
  <si>
    <t>Right-of-use assets obtained in exchange for lease obligations - operating leases (non-cash)</t>
  </si>
  <si>
    <t>FL_FINANCING_CF</t>
  </si>
  <si>
    <t>Financing cash flows from finance leases (principal payments)</t>
  </si>
  <si>
    <t>FL_OPERATING_CF</t>
  </si>
  <si>
    <t>Operating cash flows from finance leases (interest)</t>
  </si>
  <si>
    <t>OL_OPERATING_CF</t>
  </si>
  <si>
    <t>Operating cash flows from operating leases</t>
  </si>
  <si>
    <t>PPE_IN_AP</t>
  </si>
  <si>
    <t>Purchases of property and equipment remaining in accounts payable at year end (reported in USD billions to one decimal)</t>
  </si>
  <si>
    <t>PPE_NET_YE</t>
  </si>
  <si>
    <t>Property and equipment, net at June 30</t>
  </si>
  <si>
    <t>S04/S08/S12</t>
  </si>
  <si>
    <t>Balance sheets (FY2023 and FY2024 from the FY24 Q4 file)</t>
  </si>
  <si>
    <t>PPE_ACCUM_YE</t>
  </si>
  <si>
    <t>Accumulated depreciation of property and equipment at June 30</t>
  </si>
  <si>
    <t>Balance sheets caption (FY2023 and FY2024 from the FY24 Q4 file)</t>
  </si>
  <si>
    <t>PPE_LAND</t>
  </si>
  <si>
    <t>Land at cost</t>
  </si>
  <si>
    <t>PPE_BUILDINGS</t>
  </si>
  <si>
    <t>Buildings and improvements at cost</t>
  </si>
  <si>
    <t>PPE_LEASEHOLD</t>
  </si>
  <si>
    <t>Leasehold improvements at cost</t>
  </si>
  <si>
    <t>PPE_SERVERS</t>
  </si>
  <si>
    <t>Servers, network equipment, and software at cost</t>
  </si>
  <si>
    <t>PPE_FURNITURE</t>
  </si>
  <si>
    <t>Furniture and equipment at cost</t>
  </si>
  <si>
    <t>PPE_TOTAL_COST</t>
  </si>
  <si>
    <t>Property and equipment, total at cost</t>
  </si>
  <si>
    <t>FL_PPE_COST</t>
  </si>
  <si>
    <t>Finance lease assets included in property and equipment at cost</t>
  </si>
  <si>
    <t>Note 13 Leases supplemental balance sheet information</t>
  </si>
  <si>
    <t>FL_PPE_ACCUM</t>
  </si>
  <si>
    <t>Accumulated depreciation on finance lease assets</t>
  </si>
  <si>
    <t>LEASES_NOT_COMMENCED</t>
  </si>
  <si>
    <t>Additional leases not yet commenced (reported in USD billions to one decimal)</t>
  </si>
  <si>
    <t>Note 13 Leases</t>
  </si>
  <si>
    <t>CONSTRUCTION_COMMITTED</t>
  </si>
  <si>
    <t>Committed for construction of new buildings and improvements (reported in USD billions to one decimal)</t>
  </si>
  <si>
    <t>Table tblGuidance - MANAGEMENT GUIDANCE given on the July 29, 2026 earnings call (forward-looking statements, NOT reported results)</t>
  </si>
  <si>
    <t>ID</t>
  </si>
  <si>
    <t>Period</t>
  </si>
  <si>
    <t>Metric</t>
  </si>
  <si>
    <t>Low</t>
  </si>
  <si>
    <t>High</t>
  </si>
  <si>
    <t>Wording</t>
  </si>
  <si>
    <t>Numeric basis</t>
  </si>
  <si>
    <t>G01</t>
  </si>
  <si>
    <t>FY2027</t>
  </si>
  <si>
    <t>Revenue growth</t>
  </si>
  <si>
    <t>ratio</t>
  </si>
  <si>
    <t>Another fiscal year of double-digit revenue growth</t>
  </si>
  <si>
    <t>Analyst reading of 'double-digit' as 10% or more</t>
  </si>
  <si>
    <t>G02</t>
  </si>
  <si>
    <t>Operating income growth</t>
  </si>
  <si>
    <t>Another fiscal year of double-digit operating income growth</t>
  </si>
  <si>
    <t>G03</t>
  </si>
  <si>
    <t>Operating expense growth</t>
  </si>
  <si>
    <t>Operating expenses should grow in the mid to high-single digits</t>
  </si>
  <si>
    <t>Analyst reading of 'mid to high-single digits' as 4% to 9%</t>
  </si>
  <si>
    <t>G04</t>
  </si>
  <si>
    <t>Operating margin change (percentage points)</t>
  </si>
  <si>
    <t>Full fiscal year operating margins should be down less than a point</t>
  </si>
  <si>
    <t>As stated</t>
  </si>
  <si>
    <t>G05</t>
  </si>
  <si>
    <t>Capital expenditures</t>
  </si>
  <si>
    <t>text</t>
  </si>
  <si>
    <t>FY27 capital expenditures will grow year-over-year</t>
  </si>
  <si>
    <t>No amount given for the fiscal year</t>
  </si>
  <si>
    <t>G06</t>
  </si>
  <si>
    <t>Free cash flow</t>
  </si>
  <si>
    <t>Expect to remain free cash flow positive in FY27</t>
  </si>
  <si>
    <t>G07</t>
  </si>
  <si>
    <t>Effective tax rate</t>
  </si>
  <si>
    <t>FY27 effective tax rate approximately 20%</t>
  </si>
  <si>
    <t>G08</t>
  </si>
  <si>
    <t>Calendar 2026</t>
  </si>
  <si>
    <t>Capital expenditures including finance leases</t>
  </si>
  <si>
    <t>Calendar year 2026 expectation adjusted to approximately $175 billion after the shift from finance to operating leases</t>
  </si>
  <si>
    <t>G09</t>
  </si>
  <si>
    <t>Q1 FY2027</t>
  </si>
  <si>
    <t>Productivity and Business Processes revenue</t>
  </si>
  <si>
    <t>Revenue of $36.7 to $37 billion</t>
  </si>
  <si>
    <t>G10</t>
  </si>
  <si>
    <t>Intelligent Cloud revenue</t>
  </si>
  <si>
    <t>Revenue of $40.95 to $41.25 billion</t>
  </si>
  <si>
    <t>G11</t>
  </si>
  <si>
    <t>More Personal Computing revenue</t>
  </si>
  <si>
    <t>Revenue of $12.2 to $12.7 billion</t>
  </si>
  <si>
    <t>G12</t>
  </si>
  <si>
    <t>Cost of revenue (COGS)</t>
  </si>
  <si>
    <t>COGS of $29.6 to $29.8 billion</t>
  </si>
  <si>
    <t>G13</t>
  </si>
  <si>
    <t>Operating expense</t>
  </si>
  <si>
    <t>Operating expense of $16.8 to $16.9 billion</t>
  </si>
  <si>
    <t>G14</t>
  </si>
  <si>
    <t>CapEx spend will be over $50 billion including the lease reclassification impact</t>
  </si>
  <si>
    <t>As stated (lower bound only)</t>
  </si>
  <si>
    <t>G15</t>
  </si>
  <si>
    <t>Other income and expense excluding OpenAI</t>
  </si>
  <si>
    <t>Roughly negative $100 million excluding any impact from investments in OpenAI</t>
  </si>
  <si>
    <t>G16</t>
  </si>
  <si>
    <t>Useful life of datacenters and office buildings (years)</t>
  </si>
  <si>
    <t>years</t>
  </si>
  <si>
    <t>Estimated useful lives extended from 15 to 25 years effective at the start of FY27</t>
  </si>
  <si>
    <t>Table tblCall - figures stated by management on the earnings call for Q4 FY26 (rounded, as spoken)</t>
  </si>
  <si>
    <t>Value</t>
  </si>
  <si>
    <t>D01</t>
  </si>
  <si>
    <t>Capital expenditures including finance leases (earnings call)</t>
  </si>
  <si>
    <t>CFO remarks: capital expenditures were $41 billion</t>
  </si>
  <si>
    <t>D02</t>
  </si>
  <si>
    <t>Total finance leases in the quarter (earnings call)</t>
  </si>
  <si>
    <t>CFO remarks: total finance leases were $5.6 billion</t>
  </si>
  <si>
    <t>D03</t>
  </si>
  <si>
    <t>Cash paid for property plant and equipment (earnings call)</t>
  </si>
  <si>
    <t>CFO remarks: cash paid for PP&amp;E was $35.8 billion</t>
  </si>
  <si>
    <t>D04</t>
  </si>
  <si>
    <t>Free cash flow (earnings call; non-GAAP)</t>
  </si>
  <si>
    <t>CFO remarks: free cash flow was $19.6 billion</t>
  </si>
  <si>
    <t>D05</t>
  </si>
  <si>
    <t>Share of capital expenditures for short-lived assets (earnings call)</t>
  </si>
  <si>
    <t>CFO remarks: roughly two thirds for short-lived assets primarily CPUs and GPUs</t>
  </si>
  <si>
    <t>Segment analysis - revenue, growth, mix and operating margin by segment and by product line</t>
  </si>
  <si>
    <t>USD millions. Sums of reported quarters. FY2024 segment figures are as recast by Microsoft to the current segment structure; segment cost detail is published from FY2025.</t>
  </si>
  <si>
    <t>DATA TYPE: DERIVED from reported figures (formulas). No forecasts on this sheet.</t>
  </si>
  <si>
    <t>FY2024A</t>
  </si>
  <si>
    <t>FY2025A</t>
  </si>
  <si>
    <t>FY2026A</t>
  </si>
  <si>
    <t>Growth FY25</t>
  </si>
  <si>
    <t>Growth FY26</t>
  </si>
  <si>
    <t>Share of revenue FY26</t>
  </si>
  <si>
    <t>Contribution to FY26 growth (pts)</t>
  </si>
  <si>
    <t>PBP</t>
  </si>
  <si>
    <t>IC</t>
  </si>
  <si>
    <t>MPC</t>
  </si>
  <si>
    <t>TOTAL</t>
  </si>
  <si>
    <t>Operating income and operating margin</t>
  </si>
  <si>
    <t>Operating income FY2024A</t>
  </si>
  <si>
    <t>Margin FY24</t>
  </si>
  <si>
    <t>Margin FY25</t>
  </si>
  <si>
    <t>Margin FY26</t>
  </si>
  <si>
    <t>Margin change FY26 (pts)</t>
  </si>
  <si>
    <t>Segment gross margin (cost of revenue by segment is published from FY2025)</t>
  </si>
  <si>
    <t>Gross margin FY2025A</t>
  </si>
  <si>
    <t>Gross margin % FY25</t>
  </si>
  <si>
    <t>Gross margin % FY26</t>
  </si>
  <si>
    <t>Change (pts)</t>
  </si>
  <si>
    <t>Revenue by significant product and service offering</t>
  </si>
  <si>
    <t>Product or service</t>
  </si>
  <si>
    <t>Year-over-year revenue growth by quarter</t>
  </si>
  <si>
    <t>Assumptions - scenario drivers, incremental-capex scenario and sensitivity axes</t>
  </si>
  <si>
    <t>Yellow cells with blue font are the only cells meant to be edited. 'Live' is the value of the scenario selected in C4 and feeds the forecast sheets. Reference columns are formulas shown for comparison; nothing depends on them.</t>
  </si>
  <si>
    <t>DATA TYPE: ANALYST ASSUMPTIONS - the author's own inputs. They are not Microsoft guidance; guidance is quoted next to them for comparison only.</t>
  </si>
  <si>
    <t>Selected scenario</t>
  </si>
  <si>
    <t>Base</t>
  </si>
  <si>
    <t>&lt;- scenario index (formula). Choose Base, Upside or Downside in C4.</t>
  </si>
  <si>
    <t>Table tblAssump - scenario drivers for fiscal year 2027</t>
  </si>
  <si>
    <t>Driver</t>
  </si>
  <si>
    <t>Upside</t>
  </si>
  <si>
    <t>Downside</t>
  </si>
  <si>
    <t>Live</t>
  </si>
  <si>
    <t>Historical reference</t>
  </si>
  <si>
    <t>Reference basis</t>
  </si>
  <si>
    <t>Management guidance (for comparison)</t>
  </si>
  <si>
    <t>Rationale</t>
  </si>
  <si>
    <t>R01</t>
  </si>
  <si>
    <t>Productivity and Business Processes: revenue growth FY2027</t>
  </si>
  <si>
    <t>%</t>
  </si>
  <si>
    <t>FY2026 growth</t>
  </si>
  <si>
    <t>Q1 FY27 guidance implies 11% to 12%</t>
  </si>
  <si>
    <t>Base follows the Q1 guidance range. Downside assumes slower Copilot monetisation and weaker seat growth.</t>
  </si>
  <si>
    <t>R02</t>
  </si>
  <si>
    <t>Intelligent Cloud: revenue growth FY2027</t>
  </si>
  <si>
    <t>Q1 FY27 guidance implies 33% to 34%; Azure about 45% in constant currency</t>
  </si>
  <si>
    <t>Largest and fastest-growing driver. Base sits slightly below the Q1 range because growth depends on capacity coming online. Downside assumes capacity or demand shortfalls.</t>
  </si>
  <si>
    <t>R03</t>
  </si>
  <si>
    <t>More Personal Computing: revenue growth FY2027</t>
  </si>
  <si>
    <t>Q1 FY27 guidance implies -11% to -8%; Windows OEM and Devices to decline in the high teens for the year</t>
  </si>
  <si>
    <t>Management expects a weaker PC market and lower Xbox revenue.</t>
  </si>
  <si>
    <t>M01</t>
  </si>
  <si>
    <t>Cost of revenue net of D&amp;A as % of revenue: change vs FY2026 (percentage points)</t>
  </si>
  <si>
    <t>FY2026 change in the ratio</t>
  </si>
  <si>
    <t>Q1 FY27 guidance: COGS of $29.6 to $29.8 billion (includes depreciation)</t>
  </si>
  <si>
    <t>Base holds the ratio at the FY2026 level; depreciation is modelled separately. Downside reflects more AI usage at lower cash margins.</t>
  </si>
  <si>
    <t>M02</t>
  </si>
  <si>
    <t>Operating expenses: growth FY2027</t>
  </si>
  <si>
    <t>Operating expenses to grow in the mid to high-single digits</t>
  </si>
  <si>
    <t>Base is the middle of the guided range as the author reads it (4% to 9%).</t>
  </si>
  <si>
    <t>I01</t>
  </si>
  <si>
    <t>Cash capital expenditures FY2027 (additions to property and equipment)</t>
  </si>
  <si>
    <t>FY2026 actual</t>
  </si>
  <si>
    <t>FY27 capex will grow year over year; Q1 FY27 over $50 billion including finance leases; calendar 2026 about $175 billion including finance leases</t>
  </si>
  <si>
    <t>No full-year amount is guided. Base assumes roughly $46 billion of cash spend per quarter. Downside assumes higher component prices; upside assumes efficiency gains.</t>
  </si>
  <si>
    <t>I02</t>
  </si>
  <si>
    <t>Finance lease additions FY2027 (non-cash; added to property and equipment)</t>
  </si>
  <si>
    <t>More datacenter leases will be operating leases after the useful-life update</t>
  </si>
  <si>
    <t>Assumed to halve because of the reclassification described by management. Does not affect free cash flow.</t>
  </si>
  <si>
    <t>I03</t>
  </si>
  <si>
    <t>Retirements of fully depreciated assets, % of opening gross property and equipment</t>
  </si>
  <si>
    <t>FY2026 implied</t>
  </si>
  <si>
    <t>Not guided</t>
  </si>
  <si>
    <t>Implied history: depreciation expense less the change in accumulated depreciation.</t>
  </si>
  <si>
    <t>Depreciation rate: depreciation expense / average gross property and equipment</t>
  </si>
  <si>
    <t>Buildings' useful life extended from 15 to 25 years; minimal benefit to FY27 operating income</t>
  </si>
  <si>
    <t>The rate has risen each year because about two-thirds of spending is on short-lived servers. Base continues that trend, partly offset by the longer building life.</t>
  </si>
  <si>
    <t>Amortization and other items in the D&amp;A line</t>
  </si>
  <si>
    <t>FY2026 derived</t>
  </si>
  <si>
    <t>D&amp;A line of the cash flow statement less depreciation expense on property and equipment.</t>
  </si>
  <si>
    <t>C01</t>
  </si>
  <si>
    <t>FY2026 actual (includes investment gains)</t>
  </si>
  <si>
    <t>Q1 FY27: roughly -$100 million excluding OpenAI impacts</t>
  </si>
  <si>
    <t>FY2026 contained large investment gains that are not forecast. Base annualises the Q1 guidance.</t>
  </si>
  <si>
    <t>C02</t>
  </si>
  <si>
    <t>Taken from guidance; held equal across scenarios.</t>
  </si>
  <si>
    <t>C03</t>
  </si>
  <si>
    <t>Stock-based compensation, % of revenue</t>
  </si>
  <si>
    <t>Non-cash expense added back in operating cash flow.</t>
  </si>
  <si>
    <t>C04</t>
  </si>
  <si>
    <t>Other operating cash items including working capital, % of revenue</t>
  </si>
  <si>
    <t>Residual of operating cash flow after net income, D&amp;A and stock-based compensation. Range reflects FY2025 (-2.5%) and FY2026 (-0.5%).</t>
  </si>
  <si>
    <t>C05</t>
  </si>
  <si>
    <t>Finance lease principal payments (financing cash flow)</t>
  </si>
  <si>
    <t>Grows with the finance lease balance. Shown below free cash flow so lease-funded investment is not ignored.</t>
  </si>
  <si>
    <t>C06</t>
  </si>
  <si>
    <t>Dividends paid</t>
  </si>
  <si>
    <t>Assumes a dividend increase in line with recent years.</t>
  </si>
  <si>
    <t>C07</t>
  </si>
  <si>
    <t>Share repurchases</t>
  </si>
  <si>
    <t>Assumed slightly below FY2026.</t>
  </si>
  <si>
    <t>Table tblIncr - ILLUSTRATIVE incremental-capex scenario (a what-if, not a reconstruction of Microsoft's AI economics)</t>
  </si>
  <si>
    <t>Input</t>
  </si>
  <si>
    <t>X01</t>
  </si>
  <si>
    <t>Incremental cash capital expenditure, spent in FY2027</t>
  </si>
  <si>
    <t>Illustrative amount chosen by the author. It is not a Microsoft plan.</t>
  </si>
  <si>
    <t>X02</t>
  </si>
  <si>
    <t>Share spent on short-lived assets (servers, CPUs, GPUs, network equipment)</t>
  </si>
  <si>
    <t>Management said roughly two-thirds of Q4 FY26 capex was for short-lived assets.</t>
  </si>
  <si>
    <t>X03</t>
  </si>
  <si>
    <t>Useful life of short-lived assets (years)</t>
  </si>
  <si>
    <t>Upper end of the 10-K range for servers and network equipment (two to six years).</t>
  </si>
  <si>
    <t>X04</t>
  </si>
  <si>
    <t>Useful life of long-lived assets (years)</t>
  </si>
  <si>
    <t>Datacenter buildings: 25 years from FY27 per management (the FY26 10-K policy states five to 15 years).</t>
  </si>
  <si>
    <t>X05</t>
  </si>
  <si>
    <t>In-service timing: point in the first year when depreciation starts (0 = start, 0.5 = mid-year)</t>
  </si>
  <si>
    <t>Spending is spread through the year, so a half-year convention is used. Construction time is ignored.</t>
  </si>
  <si>
    <t>X06</t>
  </si>
  <si>
    <t>Illustrative incremental revenue per year for each $1 of incremental capex, while the short-lived assets are in service</t>
  </si>
  <si>
    <t>Purely illustrative. Microsoft does not disclose AI revenue, cost or invested capital separately.</t>
  </si>
  <si>
    <t>X07</t>
  </si>
  <si>
    <t>Cash operating margin on the incremental revenue (before depreciation)</t>
  </si>
  <si>
    <t>Illustrative. Covers power, operations, support and other cash costs.</t>
  </si>
  <si>
    <t>X08</t>
  </si>
  <si>
    <t>Tax rate applied to incremental profit</t>
  </si>
  <si>
    <t>Equal to the guided effective tax rate. Book depreciation is used for tax; accelerated tax depreciation is ignored.</t>
  </si>
  <si>
    <t>Sensitivity grid axes (changes applied to the selected scenario)</t>
  </si>
  <si>
    <t>Revenue growth: change in percentage points</t>
  </si>
  <si>
    <t>Cash capital expenditures: change in USD m</t>
  </si>
  <si>
    <t>Cost of revenue net of D&amp;A ratio: change in percentage points</t>
  </si>
  <si>
    <t>Depreciation rate: change in percentage points</t>
  </si>
  <si>
    <t>Revenue forecast - by segment</t>
  </si>
  <si>
    <t>USD millions. FY2024A-FY2026A are sums of reported quarters. FY2027E = FY2026 actual x (1 + growth assumption) for each segment.</t>
  </si>
  <si>
    <t>DATA TYPE: C-E: DERIVED from reported figures. F: FORECAST from analyst assumptions (not Microsoft guidance, not investment advice).</t>
  </si>
  <si>
    <t>FY2027E</t>
  </si>
  <si>
    <t>FY26 vs FY25</t>
  </si>
  <si>
    <t>FY27E vs FY26</t>
  </si>
  <si>
    <t>Forecast method (FY2027E)</t>
  </si>
  <si>
    <t>REV_PBP</t>
  </si>
  <si>
    <t>Revenue - Productivity and Business Processes</t>
  </si>
  <si>
    <t>FY2026 actual x (1 + R01).</t>
  </si>
  <si>
    <t>REV_IC</t>
  </si>
  <si>
    <t>Revenue - Intelligent Cloud</t>
  </si>
  <si>
    <t>FY2026 actual x (1 + R02).</t>
  </si>
  <si>
    <t>REV_MPC</t>
  </si>
  <si>
    <t>Revenue - More Personal Computing</t>
  </si>
  <si>
    <t>FY2026 actual x (1 + R03).</t>
  </si>
  <si>
    <t>Sum of the three segments.</t>
  </si>
  <si>
    <t>REV_G</t>
  </si>
  <si>
    <t>FY2027E / FY2026 - 1.</t>
  </si>
  <si>
    <t>Revenue mix</t>
  </si>
  <si>
    <t>Productivity and Business Processes, share of revenue</t>
  </si>
  <si>
    <t>Intelligent Cloud, share of revenue</t>
  </si>
  <si>
    <t>More Personal Computing, share of revenue</t>
  </si>
  <si>
    <t>Cross-check against MANAGEMENT GUIDANCE for Q1 FY2027 (guidance covers one quarter; the model forecasts the full year)</t>
  </si>
  <si>
    <t>Q1 FY26 actual</t>
  </si>
  <si>
    <t>Guidance low</t>
  </si>
  <si>
    <t>Guidance high</t>
  </si>
  <si>
    <t>Implied growth low</t>
  </si>
  <si>
    <t>Implied growth high</t>
  </si>
  <si>
    <t>Model FY2027E growth</t>
  </si>
  <si>
    <t>Position of the full-year assumption</t>
  </si>
  <si>
    <t>Guidance figures are management's forward-looking statements (tblGuidance), not reported results. A full-year assumption may reasonably differ from one quarter's range.</t>
  </si>
  <si>
    <t>Operating forecast - cost of revenue, gross margin, operating expenses, operating income, net income</t>
  </si>
  <si>
    <t>USD millions. Costs are shown as positive amounts, as in Microsoft's income statement. Cost of revenue = cost of revenue net of D&amp;A + D&amp;A (see Read_Me for this simplification).</t>
  </si>
  <si>
    <t>Income statement (GAAP line items; 'cost of revenue net of D&amp;A' is an analytical split, not a reported line)</t>
  </si>
  <si>
    <t>COGS_CASH</t>
  </si>
  <si>
    <t>Cost of revenue net of D&amp;A (analytical; see Read_Me)</t>
  </si>
  <si>
    <t>Revenue x (FY2026 ratio + M01).</t>
  </si>
  <si>
    <t>DA</t>
  </si>
  <si>
    <t>Depreciation, amortization, and other (D&amp;A)</t>
  </si>
  <si>
    <t>From Capex_and_Depreciation (depreciation schedule + D02).</t>
  </si>
  <si>
    <t>Cost of revenue net of D&amp;A + D&amp;A.</t>
  </si>
  <si>
    <t>Revenue - cost of revenue.</t>
  </si>
  <si>
    <t>GM_PCT</t>
  </si>
  <si>
    <t>Gross margin %</t>
  </si>
  <si>
    <t>not forecast</t>
  </si>
  <si>
    <t>OPEX</t>
  </si>
  <si>
    <t>Operating expenses (R&amp;D, S&amp;M, G&amp;A)</t>
  </si>
  <si>
    <t>FY2026 actual x (1 + M02). The split into R&amp;D, S&amp;M and G&amp;A is not forecast.</t>
  </si>
  <si>
    <t>Gross margin - operating expenses.</t>
  </si>
  <si>
    <t>OP_MARGIN</t>
  </si>
  <si>
    <t>Operating margin</t>
  </si>
  <si>
    <t>Input C01.</t>
  </si>
  <si>
    <t>Income before taxes x C02 (no tax credit on a loss).</t>
  </si>
  <si>
    <t>Income before taxes - provision for income taxes.</t>
  </si>
  <si>
    <t>Ratios</t>
  </si>
  <si>
    <t>COGS_RATIO</t>
  </si>
  <si>
    <t>Cost of revenue net of D&amp;A, % of revenue</t>
  </si>
  <si>
    <t>OPEX_G</t>
  </si>
  <si>
    <t>OI_G</t>
  </si>
  <si>
    <t>ETR</t>
  </si>
  <si>
    <t>OPEX_PCT</t>
  </si>
  <si>
    <t>Operating expenses, % of revenue</t>
  </si>
  <si>
    <t>OM_CHG</t>
  </si>
  <si>
    <t>Operating margin: change vs prior year (percentage points)</t>
  </si>
  <si>
    <t>NI_G</t>
  </si>
  <si>
    <t>Net income growth</t>
  </si>
  <si>
    <t>FY2027E compared with MANAGEMENT GUIDANCE (information: the model is not calibrated to guidance)</t>
  </si>
  <si>
    <t>Model FY2027E</t>
  </si>
  <si>
    <t>Position</t>
  </si>
  <si>
    <t>Guidance wording (summary)</t>
  </si>
  <si>
    <t>Free cash flow (USD m)</t>
  </si>
  <si>
    <t>Capital expenditures and depreciation - cash capex, finance leases, property and equipment roll-forward, incremental-capex scenario</t>
  </si>
  <si>
    <t>USD millions. Cash capex = 'additions to property and equipment' in the cash flow statement. Finance lease additions are non-cash: they enter property and equipment and depreciation, never free cash flow, so nothing is counted twice.</t>
  </si>
  <si>
    <t>DATA TYPE: C-E: DERIVED from reported figures. F and the scenario block: FORECAST / ILLUSTRATIVE SCENARIO from analyst assumptions.</t>
  </si>
  <si>
    <t>Investment</t>
  </si>
  <si>
    <t>CAPEX</t>
  </si>
  <si>
    <t>Cash capital expenditures (additions to property and equipment)</t>
  </si>
  <si>
    <t>Input I01.</t>
  </si>
  <si>
    <t>FL_ADD</t>
  </si>
  <si>
    <t>Finance lease additions (non-cash right-of-use assets obtained; 10-K lease note)</t>
  </si>
  <si>
    <t>Input I02 (non-cash).</t>
  </si>
  <si>
    <t>TOTAL_CAPEX</t>
  </si>
  <si>
    <t>Capital expenditures including finance leases (cash capex + finance lease additions)</t>
  </si>
  <si>
    <t>IR_CAPEX</t>
  </si>
  <si>
    <t>Company metric: capital expenditures including assets acquired under finance leases (IR file, rounded)</t>
  </si>
  <si>
    <t>IR_DIFF</t>
  </si>
  <si>
    <t>Difference: model definition less company metric (not reconcilable from public data)</t>
  </si>
  <si>
    <t>Microsoft's metric is rounded to $0.1bn per quarter and its exact composition is not published. The model uses the two audited components instead and shows the gap.</t>
  </si>
  <si>
    <t>CAPEX_INTENSITY</t>
  </si>
  <si>
    <t>Cash capex as % of revenue</t>
  </si>
  <si>
    <t>TOTAL_INTENSITY</t>
  </si>
  <si>
    <t>Capex including finance leases as % of revenue</t>
  </si>
  <si>
    <t>Property and equipment roll-forward and depreciation</t>
  </si>
  <si>
    <t>GROSS_OPEN</t>
  </si>
  <si>
    <t>Gross property and equipment, beginning of year</t>
  </si>
  <si>
    <t>CAPEX_L</t>
  </si>
  <si>
    <t>+ cash capital expenditures</t>
  </si>
  <si>
    <t>FL_L</t>
  </si>
  <si>
    <t>+ finance lease additions</t>
  </si>
  <si>
    <t>RETIRE</t>
  </si>
  <si>
    <t>- retirements of fully depreciated assets (history: implied)</t>
  </si>
  <si>
    <t>Opening gross property and equipment x I03.</t>
  </si>
  <si>
    <t>OTHER_PPE</t>
  </si>
  <si>
    <t>+ other (accrued purchases, disposals, currency, reclassifications; not separately disclosed)</t>
  </si>
  <si>
    <t>History: balancing item. The roll-forward cannot be fully rebuilt from public data; the unexplained part is shown, not hidden.</t>
  </si>
  <si>
    <t>GROSS_END</t>
  </si>
  <si>
    <t>Gross property and equipment, end of year</t>
  </si>
  <si>
    <t>Opening + cash capex + finance lease additions - retirements. 'Other' is assumed nil.</t>
  </si>
  <si>
    <t>GROSS_AVG</t>
  </si>
  <si>
    <t>Average gross property and equipment</t>
  </si>
  <si>
    <t>Depreciation expense on property and equipment</t>
  </si>
  <si>
    <t>Average gross property and equipment x D01.</t>
  </si>
  <si>
    <t>DEP_RATE</t>
  </si>
  <si>
    <t>Depreciation rate (depreciation / average gross property and equipment)</t>
  </si>
  <si>
    <t>AMORT</t>
  </si>
  <si>
    <t>Input D02.</t>
  </si>
  <si>
    <t>Depreciation expense + amortization and other.</t>
  </si>
  <si>
    <t>ACCUM_OPEN</t>
  </si>
  <si>
    <t>Accumulated depreciation, beginning of year</t>
  </si>
  <si>
    <t>ACCUM_END</t>
  </si>
  <si>
    <t>Accumulated depreciation, end of year</t>
  </si>
  <si>
    <t>Opening + depreciation - retirements.</t>
  </si>
  <si>
    <t>NET_PPE_END</t>
  </si>
  <si>
    <t>Property and equipment, net, end of year</t>
  </si>
  <si>
    <t>DA_PCT</t>
  </si>
  <si>
    <t>D&amp;A as % of revenue</t>
  </si>
  <si>
    <t>RET_RATE</t>
  </si>
  <si>
    <t>Retirements as % of opening gross property and equipment</t>
  </si>
  <si>
    <t>Property and equipment at cost by class (Form 10-K, Note 6)</t>
  </si>
  <si>
    <t>Class</t>
  </si>
  <si>
    <t>Share FY2026</t>
  </si>
  <si>
    <t>Increase FY2026</t>
  </si>
  <si>
    <t>Land</t>
  </si>
  <si>
    <t>Buildings and improvements</t>
  </si>
  <si>
    <t>Leasehold improvements</t>
  </si>
  <si>
    <t>Servers, network equipment, and software</t>
  </si>
  <si>
    <t>Furniture and equipment</t>
  </si>
  <si>
    <t>Total, at cost</t>
  </si>
  <si>
    <t>of which finance lease assets (10-K, Note 13)</t>
  </si>
  <si>
    <t>ILLUSTRATIVE incremental-capex scenario: effect of extra investment on cash flow now and on depreciation over time (inputs: Assumptions, tblIncr)</t>
  </si>
  <si>
    <t>This is a what-if. Microsoft does not disclose AI-specific revenue, costs or invested capital, so this block does NOT measure Microsoft's actual return on AI investment.</t>
  </si>
  <si>
    <t>Fiscal year</t>
  </si>
  <si>
    <t>FY2028</t>
  </si>
  <si>
    <t>FY2029</t>
  </si>
  <si>
    <t>FY2030</t>
  </si>
  <si>
    <t>FY2031</t>
  </si>
  <si>
    <t>FY2032</t>
  </si>
  <si>
    <t>FY2033</t>
  </si>
  <si>
    <t>FY2034</t>
  </si>
  <si>
    <t>FY2035</t>
  </si>
  <si>
    <t>FY2036</t>
  </si>
  <si>
    <t>10-year total</t>
  </si>
  <si>
    <t>Year number</t>
  </si>
  <si>
    <t>Incremental cash capital expenditure</t>
  </si>
  <si>
    <t>Depreciation - short-lived assets</t>
  </si>
  <si>
    <t>Depreciation - long-lived assets</t>
  </si>
  <si>
    <t>Total incremental depreciation</t>
  </si>
  <si>
    <t>Cumulative depreciation</t>
  </si>
  <si>
    <t>Net book value, end of year</t>
  </si>
  <si>
    <t>Share of the year the short-lived assets are in service</t>
  </si>
  <si>
    <t>Illustrative incremental revenue</t>
  </si>
  <si>
    <t>Cash operating profit on that revenue (before depreciation)</t>
  </si>
  <si>
    <t>Effect on operating income (cash operating profit - depreciation)</t>
  </si>
  <si>
    <t>Tax on the incremental profit (negative = tax saving)</t>
  </si>
  <si>
    <t>After-tax cash flow (cash operating profit - tax - capex)</t>
  </si>
  <si>
    <t>Cumulative after-tax cash flow</t>
  </si>
  <si>
    <t>Scenario read-outs</t>
  </si>
  <si>
    <t>FY2027 effect on free cash flow (after-tax cash flow in year 1)</t>
  </si>
  <si>
    <t>FY2027 effect on operating income</t>
  </si>
  <si>
    <t>Depreciation in a full year while all assets are in service (FY2028)</t>
  </si>
  <si>
    <t>Net book value still on the balance sheet after 10 years</t>
  </si>
  <si>
    <t>10-year cumulative after-tax cash flow at the illustrative revenue assumption</t>
  </si>
  <si>
    <t>First fiscal year in which cumulative after-tax cash flow turns positive</t>
  </si>
  <si>
    <t>Break-even: revenue per $1 of capex needed for 10-year cumulative cash flow of zero</t>
  </si>
  <si>
    <t>Break-even: revenue per $1 of capex needed to leave full-year operating income unchanged (FY2028)</t>
  </si>
  <si>
    <t>Illustrative revenue per $1 of capex assumed (input X06)</t>
  </si>
  <si>
    <t>Simplifications: straight-line depreciation, no salvage value, assets in service at the timing in X05, no construction period, revenue only while the short-lived assets are in service, book depreciation used for tax, no financing cost, no working capital, no replacement spending.</t>
  </si>
  <si>
    <t>Cash flow - operating cash flow, bridge to free cash flow, and cash after shareholder returns</t>
  </si>
  <si>
    <t>USD millions. Fiscal-year columns are 12-month totals. The quarterly block below separates THREE-MONTH cash flows from the YEAR-TO-DATE figures Microsoft also publishes.</t>
  </si>
  <si>
    <t>DATA TYPE: C-E: DERIVED from reported figures. F: FORECAST. Free cash flow is a NON-GAAP measure (net cash from operations less additions to property and equipment).</t>
  </si>
  <si>
    <t>Operating cash flow and bridge to free cash flow</t>
  </si>
  <si>
    <t>Plus: Depreciation, amortization, and other (D&amp;A)</t>
  </si>
  <si>
    <t>Plus: Stock-based compensation expense</t>
  </si>
  <si>
    <t>Revenue x C03.</t>
  </si>
  <si>
    <t>OTHER_OP_CASH</t>
  </si>
  <si>
    <t>Plus: Other operating cash items including working capital</t>
  </si>
  <si>
    <t>Revenue x C04.</t>
  </si>
  <si>
    <t>Equals: Net cash from operations (operating cash flow) (GAAP)</t>
  </si>
  <si>
    <t>Net income + D&amp;A + stock-based compensation + other operating cash items.</t>
  </si>
  <si>
    <t>CAPEX_N</t>
  </si>
  <si>
    <t>Less: Cash capital expenditures (additions to property and equipment)</t>
  </si>
  <si>
    <t>FCF</t>
  </si>
  <si>
    <t>Equals: Free cash flow (non-GAAP: operating cash flow less cash capex)</t>
  </si>
  <si>
    <t>Operating cash flow - cash capex. Finance lease additions are non-cash and are not deducted.</t>
  </si>
  <si>
    <t>FL_PRINCIPAL</t>
  </si>
  <si>
    <t>Less: Finance lease principal payments</t>
  </si>
  <si>
    <t>Input C05.</t>
  </si>
  <si>
    <t>FCF_AFTER_LEASE</t>
  </si>
  <si>
    <t>Equals: Free cash flow after finance lease principal (analyst measure)</t>
  </si>
  <si>
    <t>DIV</t>
  </si>
  <si>
    <t>Less: Dividends paid</t>
  </si>
  <si>
    <t>Input C06.</t>
  </si>
  <si>
    <t>BUYBACK</t>
  </si>
  <si>
    <t>Less: Share repurchases</t>
  </si>
  <si>
    <t>Input C07.</t>
  </si>
  <si>
    <t>CASH_AFTER_RETURNS</t>
  </si>
  <si>
    <t>Equals: Cash remaining after investment and shareholder returns</t>
  </si>
  <si>
    <t>A negative value is funded from cash and investments or new borrowing.</t>
  </si>
  <si>
    <t>Operating cash flow as % of revenue</t>
  </si>
  <si>
    <t>FCF_MARGIN</t>
  </si>
  <si>
    <t>Free cash flow as % of revenue</t>
  </si>
  <si>
    <t>Cash capex as % of operating cash flow</t>
  </si>
  <si>
    <t>Stock-based compensation as % of revenue</t>
  </si>
  <si>
    <t>Other operating cash items as % of revenue</t>
  </si>
  <si>
    <t>Cash conversion: operating cash flow / net income</t>
  </si>
  <si>
    <t>Cash, cash equivalents, and short-term investments at June 30 (reported)</t>
  </si>
  <si>
    <t>Quarterly cash flows: three months ended versus fiscal year to date (reported)</t>
  </si>
  <si>
    <t>USD millions</t>
  </si>
  <si>
    <t>Net cash from operations - three months ended</t>
  </si>
  <si>
    <t>Cash capital expenditures - three months ended</t>
  </si>
  <si>
    <t>Free cash flow (non-GAAP) - three months ended</t>
  </si>
  <si>
    <t>Net cash from operations - running total of the three-month figures within the fiscal year</t>
  </si>
  <si>
    <t>Net cash from operations - fiscal year to date, as first reported</t>
  </si>
  <si>
    <t>Difference (should be zero)</t>
  </si>
  <si>
    <t>Cash capital expenditures - running total within the fiscal year</t>
  </si>
  <si>
    <t>Cash capital expenditures - fiscal year to date, as first reported</t>
  </si>
  <si>
    <t>A Q3 year-to-date figure covers nine months. Subtracting the prior year-to-date figure gives the quarter. Mixing the two bases is a common error in cash flow analysis.</t>
  </si>
  <si>
    <t>Scenarios - base, upside and downside side by side, one-at-a-time sensitivities, grids and break-evens</t>
  </si>
  <si>
    <t>USD millions. Every column recalculates the full FY2027 model from its own assumptions. Sensitivity columns start from the Base case and move one driver group to its Downside or Upside value.</t>
  </si>
  <si>
    <t>DATA TYPE: FORECAST from analyst assumptions - illustrative scenarios, not Microsoft guidance and not investment advice.</t>
  </si>
  <si>
    <t>One driver group at its DOWNSIDE value, all else Base</t>
  </si>
  <si>
    <t>One driver group at its UPSIDE value, all else Base</t>
  </si>
  <si>
    <t>Line item (fiscal year 2027)</t>
  </si>
  <si>
    <t>Revenue growth (all segments)</t>
  </si>
  <si>
    <t>Cost of revenue net of D&amp;A ratio</t>
  </si>
  <si>
    <t>Depreciation rate</t>
  </si>
  <si>
    <t>Cash capital expenditures</t>
  </si>
  <si>
    <t>Other operating cash items</t>
  </si>
  <si>
    <t>Finance lease additions (non-cash)</t>
  </si>
  <si>
    <t>Retirements of fully depreciated assets (at cost)</t>
  </si>
  <si>
    <t>Other operating cash items including working capital</t>
  </si>
  <si>
    <t>Net cash from operations (operating cash flow)</t>
  </si>
  <si>
    <t>Free cash flow (non-GAAP: operating cash flow less cash capex)</t>
  </si>
  <si>
    <t>Finance lease principal payments</t>
  </si>
  <si>
    <t>Free cash flow after finance lease principal (analyst measure)</t>
  </si>
  <si>
    <t>Cash remaining after investment and shareholder returns</t>
  </si>
  <si>
    <t>Which assumptions create the largest forecast risk? Effect on FY2027E versus the Base case (USD m)</t>
  </si>
  <si>
    <t>Driver group</t>
  </si>
  <si>
    <t>Operating income: downside value</t>
  </si>
  <si>
    <t>Operating income: upside value</t>
  </si>
  <si>
    <t>Free cash flow: downside value</t>
  </si>
  <si>
    <t>Free cash flow: upside value</t>
  </si>
  <si>
    <t>Free cash flow range</t>
  </si>
  <si>
    <t>Rank by free cash flow range</t>
  </si>
  <si>
    <t>Revenue growth (all segments) (R01, R02, R03)</t>
  </si>
  <si>
    <t>Cost of revenue net of D&amp;A ratio (M01)</t>
  </si>
  <si>
    <t>Operating expense growth (M02)</t>
  </si>
  <si>
    <t>Depreciation rate (D01)</t>
  </si>
  <si>
    <t>Cash capital expenditures (I01)</t>
  </si>
  <si>
    <t>Other operating cash items (C04)</t>
  </si>
  <si>
    <t>Note: more depreciation lowers operating income but slightly raises modelled operating cash flow, because the model applies the tax rate to book profit (a simplification).</t>
  </si>
  <si>
    <t>Revenue growth change  \  cash capex change (USD m)</t>
  </si>
  <si>
    <t>Cost ratio change  \  depreciation rate change</t>
  </si>
  <si>
    <t>Both grids are exact for the model (it is linear in these drivers). The cell where both changes are zero equals the selected scenario (see Checks).</t>
  </si>
  <si>
    <t>Question</t>
  </si>
  <si>
    <t>Answer</t>
  </si>
  <si>
    <t>For comparison</t>
  </si>
  <si>
    <t>Revenue growth at which FY2027E free cash flow falls to zero</t>
  </si>
  <si>
    <t>Scenario revenue growth</t>
  </si>
  <si>
    <t>Cash capex at which FY2027E free cash flow falls to zero (USD m)</t>
  </si>
  <si>
    <t>Scenario cash capex</t>
  </si>
  <si>
    <t>Revenue growth needed to keep free cash flow at the FY2026 level</t>
  </si>
  <si>
    <t>FY2026 free cash flow (USD m)</t>
  </si>
  <si>
    <t>Revenue growth needed to keep the operating margin at the FY2026 level</t>
  </si>
  <si>
    <t>FY2026 operating margin</t>
  </si>
  <si>
    <t>Largest increase in the cost of revenue ratio that keeps the operating margin within one point of FY2026 (percentage points)</t>
  </si>
  <si>
    <t>Scenario operating margin</t>
  </si>
  <si>
    <t>Scenario results compared with MANAGEMENT GUIDANCE for FY2027 (information only)</t>
  </si>
  <si>
    <t>Guidance (summary)</t>
  </si>
  <si>
    <t>Cash capex growth</t>
  </si>
  <si>
    <t>Microsoft - financial forecast and investment dashboard</t>
  </si>
  <si>
    <t>All figures and charts are formula-driven from the other sheets. USD millions unless stated. Fiscal year ends June 30.</t>
  </si>
  <si>
    <t>DATA TYPE: MIXED - reported actuals (A), derived metrics and analyst FORECASTS (E). Free cash flow is non-GAAP. Forecasts are illustrative, not guidance and not investment advice.</t>
  </si>
  <si>
    <t>FY2026 revenue</t>
  </si>
  <si>
    <t>FY2026 free cash flow (non-GAAP)</t>
  </si>
  <si>
    <t>FY2026 cash capex, % of revenue</t>
  </si>
  <si>
    <t>FY2027E revenue</t>
  </si>
  <si>
    <t>FY2027E free cash flow</t>
  </si>
  <si>
    <t>vs FY2025:</t>
  </si>
  <si>
    <t>FY2025:</t>
  </si>
  <si>
    <t>vs FY2026:</t>
  </si>
  <si>
    <t>Reading guide</t>
  </si>
  <si>
    <t>A = actual, derived from Microsoft's reported figures. E = analyst forecast for the scenario shown above. Fiscal year 2027 runs from July 1, 2026 to June 30, 2027.</t>
  </si>
  <si>
    <t>Free cash flow = net cash from operations less additions to property and equipment. It is a non-GAAP measure. Finance lease additions are non-cash and are not deducted.</t>
  </si>
  <si>
    <t>The incremental-capex chart is an illustrative what-if. It does not measure Microsoft's actual return on AI investment, which is not separately disclosed.</t>
  </si>
  <si>
    <t>Change the scenario in Assumptions!C4 and confirm the Checks sheet afterwards.</t>
  </si>
  <si>
    <t>Chart data (formula-driven - do not overwrite)</t>
  </si>
  <si>
    <t>Revenue by segment</t>
  </si>
  <si>
    <t>Margins</t>
  </si>
  <si>
    <t>Cash</t>
  </si>
  <si>
    <t>Operating cash flow</t>
  </si>
  <si>
    <t>Investment intensity</t>
  </si>
  <si>
    <t>FY2027E by scenario</t>
  </si>
  <si>
    <t>Incremental-capex scenario</t>
  </si>
  <si>
    <t>Incremental depreciation</t>
  </si>
  <si>
    <t>After-tax cash flow</t>
  </si>
  <si>
    <t>Checks - reconciliations, plausibility and integrity tests</t>
  </si>
  <si>
    <t>Status = PASS when |A - B| &lt;= tolerance. Rows marked INFO show a difference that cannot be resolved with public data; they are disclosed, not tested. Helper blocks below show the detail.</t>
  </si>
  <si>
    <t>DATA TYPE: CONTROLS - formulas only. A PASS is meaningful only after Excel has recalculated the workbook.</t>
  </si>
  <si>
    <t>Overall status</t>
  </si>
  <si>
    <t>Category</t>
  </si>
  <si>
    <t>Check</t>
  </si>
  <si>
    <t>A (model)</t>
  </si>
  <si>
    <t>B (reference)</t>
  </si>
  <si>
    <t>Difference</t>
  </si>
  <si>
    <t>Tolerance</t>
  </si>
  <si>
    <t>Status</t>
  </si>
  <si>
    <t>Comment</t>
  </si>
  <si>
    <t>Quarterly vs year to date</t>
  </si>
  <si>
    <t>Net cash from operations: quarters where the running three-month total differs from the reported year-to-date figure</t>
  </si>
  <si>
    <t>Distinguishes three-month from year-to-date cash flows. See helper 1.</t>
  </si>
  <si>
    <t>Cash capital expenditures: quarters where the running three-month total differs from the reported year-to-date figure</t>
  </si>
  <si>
    <t>Net income: quarters where the running three-month total differs from the reported year-to-date figure</t>
  </si>
  <si>
    <t>Statement arithmetic</t>
  </si>
  <si>
    <t>Total revenue - (product + service and other): quarters with a difference</t>
  </si>
  <si>
    <t>12 reported quarters. See helper 2.</t>
  </si>
  <si>
    <t>Gross margin - (revenue - cost of revenue): quarters with a difference</t>
  </si>
  <si>
    <t>Operating income - (gross margin - R&amp;D - S&amp;M - G&amp;A): quarters with a difference</t>
  </si>
  <si>
    <t>Income before taxes - (operating income + other income): quarters with a difference</t>
  </si>
  <si>
    <t>C08</t>
  </si>
  <si>
    <t>Net income - (income before taxes - provision for income taxes): quarters with a difference</t>
  </si>
  <si>
    <t>C09</t>
  </si>
  <si>
    <t>Total assets - total liabilities and stockholders' equity: quarters with a difference</t>
  </si>
  <si>
    <t>C10</t>
  </si>
  <si>
    <t>Sum of segment revenue - total revenue: quarters with a difference</t>
  </si>
  <si>
    <t>C11</t>
  </si>
  <si>
    <t>Sum of segment operating income - operating income: quarters with a difference</t>
  </si>
  <si>
    <t>C12</t>
  </si>
  <si>
    <t>Product and service revenue total - total revenue: quarters with a difference</t>
  </si>
  <si>
    <t>C13</t>
  </si>
  <si>
    <t>Annual reconciliation</t>
  </si>
  <si>
    <t>FY2024 revenue: sum of four quarters vs Form 10-K</t>
  </si>
  <si>
    <t>Quarterly files are unaudited; the 10-K is audited.</t>
  </si>
  <si>
    <t>C14</t>
  </si>
  <si>
    <t>FY2024 operating income: sum of four quarters vs Form 10-K</t>
  </si>
  <si>
    <t>C15</t>
  </si>
  <si>
    <t>FY2024 net income: sum of four quarters vs Form 10-K</t>
  </si>
  <si>
    <t>C16</t>
  </si>
  <si>
    <t>FY2024 net cash from operations: sum of four quarters vs Form 10-K</t>
  </si>
  <si>
    <t>C17</t>
  </si>
  <si>
    <t>FY2024 cash capital expenditures: sum of four quarters vs Form 10-K</t>
  </si>
  <si>
    <t>C18</t>
  </si>
  <si>
    <t>FY2025 revenue: sum of four quarters vs Form 10-K</t>
  </si>
  <si>
    <t>C19</t>
  </si>
  <si>
    <t>FY2025 operating income: sum of four quarters vs Form 10-K</t>
  </si>
  <si>
    <t>C20</t>
  </si>
  <si>
    <t>FY2025 net income: sum of four quarters vs Form 10-K</t>
  </si>
  <si>
    <t>C21</t>
  </si>
  <si>
    <t>FY2025 net cash from operations: sum of four quarters vs Form 10-K</t>
  </si>
  <si>
    <t>C22</t>
  </si>
  <si>
    <t>FY2025 cash capital expenditures: sum of four quarters vs Form 10-K</t>
  </si>
  <si>
    <t>C23</t>
  </si>
  <si>
    <t>FY2026 revenue: sum of four quarters vs Form 10-K</t>
  </si>
  <si>
    <t>C24</t>
  </si>
  <si>
    <t>FY2026 operating income: sum of four quarters vs Form 10-K</t>
  </si>
  <si>
    <t>C25</t>
  </si>
  <si>
    <t>FY2026 net income: sum of four quarters vs Form 10-K</t>
  </si>
  <si>
    <t>C26</t>
  </si>
  <si>
    <t>FY2026 net cash from operations: sum of four quarters vs Form 10-K</t>
  </si>
  <si>
    <t>C27</t>
  </si>
  <si>
    <t>FY2026 cash capital expenditures: sum of four quarters vs Form 10-K</t>
  </si>
  <si>
    <t>C28</t>
  </si>
  <si>
    <t>FY2026 gross property and equipment: balance sheet (net + accumulated depreciation) vs 10-K Note 6 total at cost</t>
  </si>
  <si>
    <t>C29</t>
  </si>
  <si>
    <t>FY2026 property and equipment classes add up to the Note 6 total</t>
  </si>
  <si>
    <t>C30</t>
  </si>
  <si>
    <t>FY2026 depreciation expense on property and equipment does not exceed the D&amp;A line (1 = true)</t>
  </si>
  <si>
    <t>C31</t>
  </si>
  <si>
    <t>Non-GAAP and call figures</t>
  </si>
  <si>
    <t>Q4 FY26 free cash flow: model (operating cash flow less cash capex) vs figure stated on the earnings call</t>
  </si>
  <si>
    <t>Call figure is rounded to $0.1bn.</t>
  </si>
  <si>
    <t>C32</t>
  </si>
  <si>
    <t>Q4 FY26 cash capex vs 'cash paid for PP&amp;E' stated on the call</t>
  </si>
  <si>
    <t>C33</t>
  </si>
  <si>
    <t>Q4 FY26: cash capex + finance leases stated on the call vs company capex metric for the quarter (USD m)</t>
  </si>
  <si>
    <t>Confirms that the company metric is cash capex plus finance leases. Both inputs are rounded.</t>
  </si>
  <si>
    <t>C34</t>
  </si>
  <si>
    <t>Capex definitions</t>
  </si>
  <si>
    <t>FY2024: cash capex + finance lease additions (10-K) vs company capex metric (IR file)</t>
  </si>
  <si>
    <t>info</t>
  </si>
  <si>
    <t>Not reconcilable from public data: the 10-K lease note and the company metric differ. The model uses the audited components.</t>
  </si>
  <si>
    <t>C35</t>
  </si>
  <si>
    <t>FY2025: cash capex + finance lease additions (10-K) vs company capex metric (IR file)</t>
  </si>
  <si>
    <t>C36</t>
  </si>
  <si>
    <t>FY2026: cash capex + finance lease additions (10-K) vs company capex metric (IR file)</t>
  </si>
  <si>
    <t>C37</t>
  </si>
  <si>
    <t>Forecast integrity</t>
  </si>
  <si>
    <t>Revenue FY2027E on Revenue_Forecast equals the selected scenario column on Scenarios</t>
  </si>
  <si>
    <t>C38</t>
  </si>
  <si>
    <t>Operating income FY2027E on Operating_Forecast equals the selected scenario column</t>
  </si>
  <si>
    <t>C39</t>
  </si>
  <si>
    <t>D&amp;A FY2027E on Capex_and_Depreciation equals the selected scenario column</t>
  </si>
  <si>
    <t>C40</t>
  </si>
  <si>
    <t>Free cash flow FY2027E on Cash_Flow equals the selected scenario column</t>
  </si>
  <si>
    <t>C41</t>
  </si>
  <si>
    <t>Cash after shareholder returns FY2027E equals the selected scenario column</t>
  </si>
  <si>
    <t>C42</t>
  </si>
  <si>
    <t>Bridge: free cash flow FY2027E = operating cash flow - cash capex</t>
  </si>
  <si>
    <t>C43</t>
  </si>
  <si>
    <t>Net property and equipment FY2027E = gross - accumulated depreciation</t>
  </si>
  <si>
    <t>C44</t>
  </si>
  <si>
    <t>Cost of revenue FY2027E = cost of revenue net of D&amp;A + D&amp;A</t>
  </si>
  <si>
    <t>C45</t>
  </si>
  <si>
    <t>Scenario ordering, operating income: downside &lt;= base &lt;= upside (0 = in order)</t>
  </si>
  <si>
    <t>C46</t>
  </si>
  <si>
    <t>Scenario ordering, free cash flow: downside &lt;= base &lt;= upside (0 = in order)</t>
  </si>
  <si>
    <t>C47</t>
  </si>
  <si>
    <t>Sensitivity grid 1: cell with zero changes equals selected-scenario free cash flow</t>
  </si>
  <si>
    <t>Holds only while the fourth row axis value and third column axis value are zero.</t>
  </si>
  <si>
    <t>C48</t>
  </si>
  <si>
    <t>Sensitivity grid 2: cell with zero changes equals selected-scenario operating margin</t>
  </si>
  <si>
    <t>Holds only while the third axis values are zero.</t>
  </si>
  <si>
    <t>C49</t>
  </si>
  <si>
    <t>Scenario selector holds a valid name (1 = valid)</t>
  </si>
  <si>
    <t>C50</t>
  </si>
  <si>
    <t>Growth, rate and share inputs outside plausible bounds (-50% to +100%)</t>
  </si>
  <si>
    <t>C51</t>
  </si>
  <si>
    <t>Incremental scenario</t>
  </si>
  <si>
    <t>Short-lived assets are fully depreciated within the 10-year window</t>
  </si>
  <si>
    <t>Holds while the short-lived useful life is 9.5 years or less.</t>
  </si>
  <si>
    <t>C52</t>
  </si>
  <si>
    <t>Cost = cumulative depreciation + net book value after 10 years</t>
  </si>
  <si>
    <t>C53</t>
  </si>
  <si>
    <t>Year-1 free cash flow effect is negative (cash leaves before returns arrive; 1 = true)</t>
  </si>
  <si>
    <t>C54</t>
  </si>
  <si>
    <t>Workbook hygiene</t>
  </si>
  <si>
    <t>Error values on Segment_Analysis</t>
  </si>
  <si>
    <t>C55</t>
  </si>
  <si>
    <t>Error values on Revenue_Forecast and Operating_Forecast</t>
  </si>
  <si>
    <t>C56</t>
  </si>
  <si>
    <t>Error values on Capex_and_Depreciation and Cash_Flow</t>
  </si>
  <si>
    <t>C57</t>
  </si>
  <si>
    <t>Error values on Scenarios</t>
  </si>
  <si>
    <t>C58</t>
  </si>
  <si>
    <t>Error values on Dashboard</t>
  </si>
  <si>
    <t>Helper 1 - running total of three-month cash flow figures within each fiscal year, less the year-to-date figure as first reported (USD m; should be zero)</t>
  </si>
  <si>
    <t>Line</t>
  </si>
  <si>
    <t>Helper 2 - arithmetic of the reported quarterly statements (differences in USD m; should be zero)</t>
  </si>
  <si>
    <t>Identity</t>
  </si>
  <si>
    <t>Total revenue - (product + service and other)</t>
  </si>
  <si>
    <t>Gross margin - (revenue - cost of revenue)</t>
  </si>
  <si>
    <t>Operating income - (gross margin - R&amp;D - S&amp;M - G&amp;A)</t>
  </si>
  <si>
    <t>Income before taxes - (operating income + other income)</t>
  </si>
  <si>
    <t>Net income - (income before taxes - provision for income taxes)</t>
  </si>
  <si>
    <t>Total assets - total liabilities and stockholders' equity</t>
  </si>
  <si>
    <t>Sum of segment revenue - total revenue</t>
  </si>
  <si>
    <t>Sum of segment operating income - operating income</t>
  </si>
  <si>
    <t>Product and service revenue total - total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</si>
</sst>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Red]\-#,##0"/>
    <numFmt numFmtId="165" formatCode="#,##0.0;[Red]\-#,##0.0"/>
    <numFmt numFmtId="166" formatCode="0.0%;[Red]\-0.0%"/>
    <numFmt numFmtId="167" formatCode="0.0"/>
    <numFmt numFmtId="168" formatCode="\+0.0%;[Red]\-0.0%"/>
    <numFmt numFmtId="169" formatCode="0.000"/>
    <numFmt numFmtId="170" formatCode="#,##0.0000"/>
    <numFmt numFmtId="171" formatCode="0.0000"/>
    <numFmt numFmtId="172" formatCode="\+0.0%;\-0.0%"/>
  </numFmts>
  <fonts count="8" x14ac:knownFonts="1">
    <font>
      <sz val="11"/>
      <color theme="1"/>
      <name val="Calibri"/>
      <family val="2"/>
      <scheme val="minor"/>
    </font>
    <font>
      <b/>
      <sz val="14"/>
      <color rgb="FF1F3864"/>
      <name val="Calibri"/>
    </font>
    <font>
      <i/>
      <sz val="9"/>
      <color rgb="FF595959"/>
      <name val="Calibri"/>
    </font>
    <font>
      <b/>
      <sz val="10"/>
      <name val="Calibri"/>
    </font>
    <font>
      <b/>
      <sz val="10"/>
      <color rgb="FFFFFFFF"/>
      <name val="Calibri"/>
    </font>
    <font>
      <sz val="10"/>
      <name val="Calibri"/>
    </font>
    <font>
      <sz val="10"/>
      <color rgb="FF0000FF"/>
      <name val="Calibri"/>
    </font>
    <font>
      <b/>
      <sz val="16"/>
      <color rgb="FF1F3864"/>
      <name val="Calibri"/>
    </font>
  </fonts>
  <fills count="7">
    <fill>
      <patternFill patternType="none"/>
    </fill>
    <fill>
      <patternFill patternType="gray125"/>
    </fill>
    <fill>
      <patternFill patternType="solid">
        <fgColor rgb="FFDDEBF7"/>
      </patternFill>
    </fill>
    <fill>
      <patternFill patternType="solid">
        <fgColor rgb="FF1F3864"/>
      </patternFill>
    </fill>
    <fill>
      <patternFill patternType="solid">
        <fgColor rgb="FFFFF2CC"/>
      </patternFill>
    </fill>
    <fill>
      <patternFill patternType="solid">
        <fgColor rgb="FFC55A11"/>
      </patternFill>
    </fill>
    <fill>
      <patternFill patternType="solid">
        <fgColor rgb="FFF2F2F2"/>
      </patternFill>
    </fill>
  </fills>
  <borders count="2">
    <border>
      <left/>
      <right/>
      <top/>
      <bottom/>
      <diagonal/>
    </border>
    <border>
      <left/>
      <right/>
      <top style="thin">
        <color rgb="FFBFBFBF"/>
      </top>
      <bottom/>
      <diagonal/>
    </border>
  </borders>
  <cellStyleXfs count="1">
    <xf numFmtId="0" fontId="0" fillId="0" borderId="0"/>
  </cellStyleXfs>
  <cellXfs count="51">
    <xf numFmtId="0" fontId="0" fillId="0" borderId="0" xfId="0"/>
    <xf numFmtId="0" fontId="1" fillId="0" borderId="0" xfId="0" applyFont="1"/>
    <xf numFmtId="0" fontId="2" fillId="0" borderId="0" xfId="0" applyFont="1"/>
    <xf numFmtId="0" fontId="3" fillId="2" borderId="0" xfId="0" applyFont="1" applyFill="1"/>
    <xf numFmtId="0" fontId="3" fillId="0" borderId="0" xfId="0" applyFont="1"/>
    <xf numFmtId="0" fontId="3" fillId="0" borderId="0" xfId="0" applyFont="1" applyAlignment="1">
      <alignment vertical="top" wrapText="1"/>
    </xf>
    <xf numFmtId="0" fontId="5" fillId="0" borderId="0" xfId="0" applyFont="1" applyAlignment="1">
      <alignment vertical="top" wrapText="1"/>
    </xf>
    <xf numFmtId="0" fontId="4" fillId="3" borderId="0" xfId="0" applyFont="1" applyFill="1" applyAlignment="1">
      <alignment horizontal="center" vertical="center" wrapText="1"/>
    </xf>
    <xf numFmtId="0" fontId="5" fillId="0" borderId="0" xfId="0" applyFont="1"/>
    <xf numFmtId="164" fontId="6" fillId="0" borderId="0" xfId="0" applyNumberFormat="1" applyFont="1"/>
    <xf numFmtId="2" fontId="6" fillId="0" borderId="0" xfId="0" applyNumberFormat="1" applyFont="1"/>
    <xf numFmtId="165" fontId="6" fillId="0" borderId="0" xfId="0" applyNumberFormat="1" applyFont="1"/>
    <xf numFmtId="166" fontId="6" fillId="0" borderId="0" xfId="0" applyNumberFormat="1" applyFont="1"/>
    <xf numFmtId="167" fontId="6" fillId="0" borderId="0" xfId="0" applyNumberFormat="1" applyFont="1"/>
    <xf numFmtId="164" fontId="5" fillId="0" borderId="0" xfId="0" applyNumberFormat="1" applyFont="1"/>
    <xf numFmtId="166" fontId="5" fillId="0" borderId="0" xfId="0" applyNumberFormat="1" applyFont="1"/>
    <xf numFmtId="168" fontId="5" fillId="0" borderId="0" xfId="0" applyNumberFormat="1" applyFont="1"/>
    <xf numFmtId="0" fontId="6" fillId="4" borderId="0" xfId="0" applyFont="1" applyFill="1" applyAlignment="1">
      <alignment horizontal="center" vertical="center" wrapText="1"/>
    </xf>
    <xf numFmtId="166" fontId="6" fillId="4" borderId="0" xfId="0" applyNumberFormat="1" applyFont="1" applyFill="1"/>
    <xf numFmtId="166" fontId="3" fillId="0" borderId="0" xfId="0" applyNumberFormat="1" applyFont="1"/>
    <xf numFmtId="164" fontId="6" fillId="4" borderId="0" xfId="0" applyNumberFormat="1" applyFont="1" applyFill="1"/>
    <xf numFmtId="164" fontId="3" fillId="0" borderId="0" xfId="0" applyNumberFormat="1" applyFont="1"/>
    <xf numFmtId="167" fontId="6" fillId="4" borderId="0" xfId="0" applyNumberFormat="1" applyFont="1" applyFill="1"/>
    <xf numFmtId="2" fontId="6" fillId="4" borderId="0" xfId="0" applyNumberFormat="1" applyFont="1" applyFill="1"/>
    <xf numFmtId="168" fontId="6" fillId="4" borderId="0" xfId="0" applyNumberFormat="1" applyFont="1" applyFill="1"/>
    <xf numFmtId="0" fontId="4" fillId="5" borderId="0" xfId="0" applyFont="1" applyFill="1" applyAlignment="1">
      <alignment horizontal="center" vertical="center" wrapText="1"/>
    </xf>
    <xf numFmtId="0" fontId="3" fillId="6" borderId="0" xfId="0" applyFont="1" applyFill="1"/>
    <xf numFmtId="164" fontId="3" fillId="6" borderId="1" xfId="0" applyNumberFormat="1" applyFont="1" applyFill="1" applyBorder="1"/>
    <xf numFmtId="10" fontId="5" fillId="0" borderId="0" xfId="0" applyNumberFormat="1" applyFont="1"/>
    <xf numFmtId="1" fontId="5" fillId="0" borderId="0" xfId="0" applyNumberFormat="1" applyFont="1"/>
    <xf numFmtId="2" fontId="5" fillId="0" borderId="0" xfId="0" applyNumberFormat="1" applyFont="1"/>
    <xf numFmtId="2" fontId="3" fillId="0" borderId="0" xfId="0" applyNumberFormat="1" applyFont="1"/>
    <xf numFmtId="169" fontId="3" fillId="0" borderId="0" xfId="0" applyNumberFormat="1" applyFont="1"/>
    <xf numFmtId="164" fontId="3" fillId="6" borderId="0" xfId="0" applyNumberFormat="1" applyFont="1" applyFill="1"/>
    <xf numFmtId="0" fontId="4" fillId="3" borderId="0" xfId="0" applyFont="1" applyFill="1"/>
    <xf numFmtId="164" fontId="4" fillId="3" borderId="0" xfId="0" applyNumberFormat="1" applyFont="1" applyFill="1" applyAlignment="1">
      <alignment horizontal="center" vertical="center" wrapText="1"/>
    </xf>
    <xf numFmtId="168" fontId="3" fillId="0" borderId="0" xfId="0" applyNumberFormat="1" applyFont="1"/>
    <xf numFmtId="168" fontId="4" fillId="3" borderId="0" xfId="0" applyNumberFormat="1" applyFont="1" applyFill="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horizontal="right"/>
    </xf>
    <xf numFmtId="172" fontId="2" fillId="0" borderId="0" xfId="0" applyNumberFormat="1" applyFont="1" applyAlignment="1">
      <alignment horizontal="left"/>
    </xf>
    <xf numFmtId="166" fontId="2" fillId="0" borderId="0" xfId="0" applyNumberFormat="1" applyFont="1" applyAlignment="1">
      <alignment horizontal="left"/>
    </xf>
    <xf numFmtId="170" fontId="5" fillId="0" borderId="0" xfId="0" applyNumberFormat="1" applyFont="1"/>
    <xf numFmtId="171" fontId="6" fillId="0" borderId="0" xfId="0" applyNumberFormat="1" applyFont="1"/>
    <xf numFmtId="0" fontId="3" fillId="0" borderId="0" xfId="0" applyFont="1" applyAlignment="1">
      <alignment horizontal="center" vertical="center" wrapText="1"/>
    </xf>
    <xf numFmtId="167" fontId="5" fillId="0" borderId="0" xfId="0" applyNumberFormat="1" applyFont="1"/>
    <xf numFmtId="0" fontId="4" fillId="3" borderId="0" xfId="0" applyFont="1" applyFill="1" applyAlignment="1">
      <alignment horizontal="center" vertical="center" wrapText="1"/>
    </xf>
    <xf numFmtId="0" fontId="0" fillId="0" borderId="0" xfId="0"/>
    <xf numFmtId="166" fontId="7" fillId="6" borderId="0" xfId="0" applyNumberFormat="1" applyFont="1" applyFill="1" applyAlignment="1">
      <alignment horizontal="center" vertical="center" wrapText="1"/>
    </xf>
    <xf numFmtId="164" fontId="7" fillId="6" borderId="0" xfId="0" applyNumberFormat="1" applyFont="1" applyFill="1" applyAlignment="1">
      <alignment horizontal="center" vertical="center" wrapText="1"/>
    </xf>
    <xf numFmtId="0" fontId="4" fillId="5" borderId="0" xfId="0" applyFont="1" applyFill="1" applyAlignment="1">
      <alignment horizontal="center" vertical="center" wrapText="1"/>
    </xf>
  </cellXfs>
  <cellStyles count="1">
    <cellStyle name="Normal" xfId="0" builtinId="0"/>
  </cellStyles>
  <dxfs count="2">
    <dxf>
      <font>
        <b/>
        <color rgb="FF9C0006"/>
      </font>
      <fill>
        <patternFill patternType="solid">
          <bgColor rgb="FFFFC7CE"/>
        </patternFill>
      </fill>
    </dxf>
    <dxf>
      <font>
        <b/>
        <color rgb="FF006100"/>
      </font>
      <fill>
        <patternFill patternType="solid">
          <bgColor rgb="FFC6EF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Revenue by segment (USD m)</a:t>
            </a:r>
          </a:p>
        </c:rich>
      </c:tx>
      <c:overlay val="0"/>
    </c:title>
    <c:autoTitleDeleted val="0"/>
    <c:plotArea>
      <c:layout/>
      <c:barChart>
        <c:barDir val="col"/>
        <c:grouping val="stacked"/>
        <c:varyColors val="0"/>
        <c:ser>
          <c:idx val="0"/>
          <c:order val="0"/>
          <c:tx>
            <c:strRef>
              <c:f>Dashboard!$B$83</c:f>
              <c:strCache>
                <c:ptCount val="1"/>
                <c:pt idx="0">
                  <c:v>Productivity and Business Processes</c:v>
                </c:pt>
              </c:strCache>
            </c:strRef>
          </c:tx>
          <c:spPr>
            <a:solidFill>
              <a:srgbClr val="2A78D6"/>
            </a:solidFill>
            <a:ln>
              <a:solidFill>
                <a:srgbClr val="2A78D6"/>
              </a:solidFill>
              <a:prstDash val="solid"/>
            </a:ln>
          </c:spPr>
          <c:invertIfNegative val="0"/>
          <c:cat>
            <c:strRef>
              <c:f>Dashboard!$C$82:$F$82</c:f>
              <c:strCache>
                <c:ptCount val="4"/>
                <c:pt idx="0">
                  <c:v>FY2024A</c:v>
                </c:pt>
                <c:pt idx="1">
                  <c:v>FY2025A</c:v>
                </c:pt>
                <c:pt idx="2">
                  <c:v>FY2026A</c:v>
                </c:pt>
                <c:pt idx="3">
                  <c:v>FY2027E</c:v>
                </c:pt>
              </c:strCache>
            </c:strRef>
          </c:cat>
          <c:val>
            <c:numRef>
              <c:f>Dashboard!$C$83:$F$83</c:f>
              <c:numCache>
                <c:formatCode>#\ ##0;[Red]\-#\ ##0</c:formatCode>
                <c:ptCount val="4"/>
                <c:pt idx="0">
                  <c:v>106820</c:v>
                </c:pt>
                <c:pt idx="1">
                  <c:v>120810</c:v>
                </c:pt>
                <c:pt idx="2">
                  <c:v>139996</c:v>
                </c:pt>
                <c:pt idx="3">
                  <c:v>155395.56000000003</c:v>
                </c:pt>
              </c:numCache>
            </c:numRef>
          </c:val>
          <c:extLst>
            <c:ext xmlns:c16="http://schemas.microsoft.com/office/drawing/2014/chart" uri="{C3380CC4-5D6E-409C-BE32-E72D297353CC}">
              <c16:uniqueId val="{00000000-AC0A-0E42-8692-7D815534CEEA}"/>
            </c:ext>
          </c:extLst>
        </c:ser>
        <c:ser>
          <c:idx val="1"/>
          <c:order val="1"/>
          <c:tx>
            <c:strRef>
              <c:f>Dashboard!$B$84</c:f>
              <c:strCache>
                <c:ptCount val="1"/>
                <c:pt idx="0">
                  <c:v>Intelligent Cloud</c:v>
                </c:pt>
              </c:strCache>
            </c:strRef>
          </c:tx>
          <c:spPr>
            <a:solidFill>
              <a:srgbClr val="EB6834"/>
            </a:solidFill>
            <a:ln>
              <a:solidFill>
                <a:srgbClr val="EB6834"/>
              </a:solidFill>
              <a:prstDash val="solid"/>
            </a:ln>
          </c:spPr>
          <c:invertIfNegative val="0"/>
          <c:cat>
            <c:strRef>
              <c:f>Dashboard!$C$82:$F$82</c:f>
              <c:strCache>
                <c:ptCount val="4"/>
                <c:pt idx="0">
                  <c:v>FY2024A</c:v>
                </c:pt>
                <c:pt idx="1">
                  <c:v>FY2025A</c:v>
                </c:pt>
                <c:pt idx="2">
                  <c:v>FY2026A</c:v>
                </c:pt>
                <c:pt idx="3">
                  <c:v>FY2027E</c:v>
                </c:pt>
              </c:strCache>
            </c:strRef>
          </c:cat>
          <c:val>
            <c:numRef>
              <c:f>Dashboard!$C$84:$F$84</c:f>
              <c:numCache>
                <c:formatCode>#\ ##0;[Red]\-#\ ##0</c:formatCode>
                <c:ptCount val="4"/>
                <c:pt idx="0">
                  <c:v>87464</c:v>
                </c:pt>
                <c:pt idx="1">
                  <c:v>106265</c:v>
                </c:pt>
                <c:pt idx="2">
                  <c:v>137791</c:v>
                </c:pt>
                <c:pt idx="3">
                  <c:v>181884.12</c:v>
                </c:pt>
              </c:numCache>
            </c:numRef>
          </c:val>
          <c:extLst>
            <c:ext xmlns:c16="http://schemas.microsoft.com/office/drawing/2014/chart" uri="{C3380CC4-5D6E-409C-BE32-E72D297353CC}">
              <c16:uniqueId val="{00000001-AC0A-0E42-8692-7D815534CEEA}"/>
            </c:ext>
          </c:extLst>
        </c:ser>
        <c:ser>
          <c:idx val="2"/>
          <c:order val="2"/>
          <c:tx>
            <c:strRef>
              <c:f>Dashboard!$B$85</c:f>
              <c:strCache>
                <c:ptCount val="1"/>
                <c:pt idx="0">
                  <c:v>More Personal Computing</c:v>
                </c:pt>
              </c:strCache>
            </c:strRef>
          </c:tx>
          <c:spPr>
            <a:solidFill>
              <a:srgbClr val="1BAF7A"/>
            </a:solidFill>
            <a:ln>
              <a:solidFill>
                <a:srgbClr val="1BAF7A"/>
              </a:solidFill>
              <a:prstDash val="solid"/>
            </a:ln>
          </c:spPr>
          <c:invertIfNegative val="0"/>
          <c:cat>
            <c:strRef>
              <c:f>Dashboard!$C$82:$F$82</c:f>
              <c:strCache>
                <c:ptCount val="4"/>
                <c:pt idx="0">
                  <c:v>FY2024A</c:v>
                </c:pt>
                <c:pt idx="1">
                  <c:v>FY2025A</c:v>
                </c:pt>
                <c:pt idx="2">
                  <c:v>FY2026A</c:v>
                </c:pt>
                <c:pt idx="3">
                  <c:v>FY2027E</c:v>
                </c:pt>
              </c:strCache>
            </c:strRef>
          </c:cat>
          <c:val>
            <c:numRef>
              <c:f>Dashboard!$C$85:$F$85</c:f>
              <c:numCache>
                <c:formatCode>#\ ##0;[Red]\-#\ ##0</c:formatCode>
                <c:ptCount val="4"/>
                <c:pt idx="0">
                  <c:v>50838</c:v>
                </c:pt>
                <c:pt idx="1">
                  <c:v>54649</c:v>
                </c:pt>
                <c:pt idx="2">
                  <c:v>54052</c:v>
                </c:pt>
                <c:pt idx="3">
                  <c:v>49187.32</c:v>
                </c:pt>
              </c:numCache>
            </c:numRef>
          </c:val>
          <c:extLst>
            <c:ext xmlns:c16="http://schemas.microsoft.com/office/drawing/2014/chart" uri="{C3380CC4-5D6E-409C-BE32-E72D297353CC}">
              <c16:uniqueId val="{00000002-AC0A-0E42-8692-7D815534CEEA}"/>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Gross margin and operating margin</a:t>
            </a:r>
          </a:p>
        </c:rich>
      </c:tx>
      <c:overlay val="0"/>
    </c:title>
    <c:autoTitleDeleted val="0"/>
    <c:plotArea>
      <c:layout/>
      <c:lineChart>
        <c:grouping val="standard"/>
        <c:varyColors val="0"/>
        <c:ser>
          <c:idx val="0"/>
          <c:order val="0"/>
          <c:tx>
            <c:strRef>
              <c:f>Dashboard!$B$89</c:f>
              <c:strCache>
                <c:ptCount val="1"/>
                <c:pt idx="0">
                  <c:v>Gross margin %</c:v>
                </c:pt>
              </c:strCache>
            </c:strRef>
          </c:tx>
          <c:spPr>
            <a:ln w="25400">
              <a:solidFill>
                <a:srgbClr val="2A78D6"/>
              </a:solidFill>
              <a:prstDash val="solid"/>
            </a:ln>
          </c:spPr>
          <c:marker>
            <c:symbol val="none"/>
          </c:marker>
          <c:cat>
            <c:strRef>
              <c:f>Dashboard!$C$88:$F$88</c:f>
              <c:strCache>
                <c:ptCount val="4"/>
                <c:pt idx="0">
                  <c:v>FY2024A</c:v>
                </c:pt>
                <c:pt idx="1">
                  <c:v>FY2025A</c:v>
                </c:pt>
                <c:pt idx="2">
                  <c:v>FY2026A</c:v>
                </c:pt>
                <c:pt idx="3">
                  <c:v>FY2027E</c:v>
                </c:pt>
              </c:strCache>
            </c:strRef>
          </c:cat>
          <c:val>
            <c:numRef>
              <c:f>Dashboard!$C$89:$F$89</c:f>
              <c:numCache>
                <c:formatCode>0.0%;[Red]\-0.0%</c:formatCode>
                <c:ptCount val="4"/>
                <c:pt idx="0">
                  <c:v>0.69764443827971379</c:v>
                </c:pt>
                <c:pt idx="1">
                  <c:v>0.68823742386165188</c:v>
                </c:pt>
                <c:pt idx="2">
                  <c:v>0.67944093370580316</c:v>
                </c:pt>
                <c:pt idx="3">
                  <c:v>0.65251774402722618</c:v>
                </c:pt>
              </c:numCache>
            </c:numRef>
          </c:val>
          <c:smooth val="0"/>
          <c:extLst>
            <c:ext xmlns:c16="http://schemas.microsoft.com/office/drawing/2014/chart" uri="{C3380CC4-5D6E-409C-BE32-E72D297353CC}">
              <c16:uniqueId val="{00000000-27DA-8443-AC19-A6493F947AD5}"/>
            </c:ext>
          </c:extLst>
        </c:ser>
        <c:ser>
          <c:idx val="1"/>
          <c:order val="1"/>
          <c:tx>
            <c:strRef>
              <c:f>Dashboard!$B$90</c:f>
              <c:strCache>
                <c:ptCount val="1"/>
                <c:pt idx="0">
                  <c:v>Operating margin</c:v>
                </c:pt>
              </c:strCache>
            </c:strRef>
          </c:tx>
          <c:spPr>
            <a:ln w="25400">
              <a:solidFill>
                <a:srgbClr val="EB6834"/>
              </a:solidFill>
              <a:prstDash val="solid"/>
            </a:ln>
          </c:spPr>
          <c:marker>
            <c:symbol val="none"/>
          </c:marker>
          <c:cat>
            <c:strRef>
              <c:f>Dashboard!$C$88:$F$88</c:f>
              <c:strCache>
                <c:ptCount val="4"/>
                <c:pt idx="0">
                  <c:v>FY2024A</c:v>
                </c:pt>
                <c:pt idx="1">
                  <c:v>FY2025A</c:v>
                </c:pt>
                <c:pt idx="2">
                  <c:v>FY2026A</c:v>
                </c:pt>
                <c:pt idx="3">
                  <c:v>FY2027E</c:v>
                </c:pt>
              </c:strCache>
            </c:strRef>
          </c:cat>
          <c:val>
            <c:numRef>
              <c:f>Dashboard!$C$90:$F$90</c:f>
              <c:numCache>
                <c:formatCode>0.0%;[Red]\-0.0%</c:formatCode>
                <c:ptCount val="4"/>
                <c:pt idx="0">
                  <c:v>0.44644299573273716</c:v>
                </c:pt>
                <c:pt idx="1">
                  <c:v>0.45621956240859851</c:v>
                </c:pt>
                <c:pt idx="2">
                  <c:v>0.46780818408927222</c:v>
                </c:pt>
                <c:pt idx="3">
                  <c:v>0.45807951256115015</c:v>
                </c:pt>
              </c:numCache>
            </c:numRef>
          </c:val>
          <c:smooth val="0"/>
          <c:extLst>
            <c:ext xmlns:c16="http://schemas.microsoft.com/office/drawing/2014/chart" uri="{C3380CC4-5D6E-409C-BE32-E72D297353CC}">
              <c16:uniqueId val="{00000001-27DA-8443-AC19-A6493F947AD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Operating cash flow, cash capex and free cash flow (USD m)</a:t>
            </a:r>
          </a:p>
        </c:rich>
      </c:tx>
      <c:overlay val="0"/>
    </c:title>
    <c:autoTitleDeleted val="0"/>
    <c:plotArea>
      <c:layout/>
      <c:barChart>
        <c:barDir val="col"/>
        <c:grouping val="clustered"/>
        <c:varyColors val="0"/>
        <c:ser>
          <c:idx val="0"/>
          <c:order val="0"/>
          <c:tx>
            <c:strRef>
              <c:f>Dashboard!$B$94</c:f>
              <c:strCache>
                <c:ptCount val="1"/>
                <c:pt idx="0">
                  <c:v>Operating cash flow</c:v>
                </c:pt>
              </c:strCache>
            </c:strRef>
          </c:tx>
          <c:spPr>
            <a:solidFill>
              <a:srgbClr val="2A78D6"/>
            </a:solidFill>
            <a:ln>
              <a:solidFill>
                <a:srgbClr val="2A78D6"/>
              </a:solidFill>
              <a:prstDash val="solid"/>
            </a:ln>
          </c:spPr>
          <c:invertIfNegative val="0"/>
          <c:cat>
            <c:strRef>
              <c:f>Dashboard!$C$93:$F$93</c:f>
              <c:strCache>
                <c:ptCount val="4"/>
                <c:pt idx="0">
                  <c:v>FY2024A</c:v>
                </c:pt>
                <c:pt idx="1">
                  <c:v>FY2025A</c:v>
                </c:pt>
                <c:pt idx="2">
                  <c:v>FY2026A</c:v>
                </c:pt>
                <c:pt idx="3">
                  <c:v>FY2027E</c:v>
                </c:pt>
              </c:strCache>
            </c:strRef>
          </c:cat>
          <c:val>
            <c:numRef>
              <c:f>Dashboard!$C$94:$F$94</c:f>
              <c:numCache>
                <c:formatCode>#\ ##0;[Red]\-#\ ##0</c:formatCode>
                <c:ptCount val="4"/>
                <c:pt idx="0">
                  <c:v>118548</c:v>
                </c:pt>
                <c:pt idx="1">
                  <c:v>136162</c:v>
                </c:pt>
                <c:pt idx="2">
                  <c:v>182935</c:v>
                </c:pt>
                <c:pt idx="3">
                  <c:v>207023.16949477603</c:v>
                </c:pt>
              </c:numCache>
            </c:numRef>
          </c:val>
          <c:extLst>
            <c:ext xmlns:c16="http://schemas.microsoft.com/office/drawing/2014/chart" uri="{C3380CC4-5D6E-409C-BE32-E72D297353CC}">
              <c16:uniqueId val="{00000000-4CD3-C343-85E7-02469C3E0B81}"/>
            </c:ext>
          </c:extLst>
        </c:ser>
        <c:ser>
          <c:idx val="1"/>
          <c:order val="1"/>
          <c:tx>
            <c:strRef>
              <c:f>Dashboard!$B$95</c:f>
              <c:strCache>
                <c:ptCount val="1"/>
                <c:pt idx="0">
                  <c:v>Cash capital expenditures</c:v>
                </c:pt>
              </c:strCache>
            </c:strRef>
          </c:tx>
          <c:spPr>
            <a:solidFill>
              <a:srgbClr val="EB6834"/>
            </a:solidFill>
            <a:ln>
              <a:solidFill>
                <a:srgbClr val="EB6834"/>
              </a:solidFill>
              <a:prstDash val="solid"/>
            </a:ln>
          </c:spPr>
          <c:invertIfNegative val="0"/>
          <c:cat>
            <c:strRef>
              <c:f>Dashboard!$C$93:$F$93</c:f>
              <c:strCache>
                <c:ptCount val="4"/>
                <c:pt idx="0">
                  <c:v>FY2024A</c:v>
                </c:pt>
                <c:pt idx="1">
                  <c:v>FY2025A</c:v>
                </c:pt>
                <c:pt idx="2">
                  <c:v>FY2026A</c:v>
                </c:pt>
                <c:pt idx="3">
                  <c:v>FY2027E</c:v>
                </c:pt>
              </c:strCache>
            </c:strRef>
          </c:cat>
          <c:val>
            <c:numRef>
              <c:f>Dashboard!$C$95:$F$95</c:f>
              <c:numCache>
                <c:formatCode>#\ ##0;[Red]\-#\ ##0</c:formatCode>
                <c:ptCount val="4"/>
                <c:pt idx="0">
                  <c:v>44477</c:v>
                </c:pt>
                <c:pt idx="1">
                  <c:v>64551</c:v>
                </c:pt>
                <c:pt idx="2">
                  <c:v>115948</c:v>
                </c:pt>
                <c:pt idx="3">
                  <c:v>184000</c:v>
                </c:pt>
              </c:numCache>
            </c:numRef>
          </c:val>
          <c:extLst>
            <c:ext xmlns:c16="http://schemas.microsoft.com/office/drawing/2014/chart" uri="{C3380CC4-5D6E-409C-BE32-E72D297353CC}">
              <c16:uniqueId val="{00000001-4CD3-C343-85E7-02469C3E0B81}"/>
            </c:ext>
          </c:extLst>
        </c:ser>
        <c:ser>
          <c:idx val="2"/>
          <c:order val="2"/>
          <c:tx>
            <c:strRef>
              <c:f>Dashboard!$B$96</c:f>
              <c:strCache>
                <c:ptCount val="1"/>
                <c:pt idx="0">
                  <c:v>Free cash flow</c:v>
                </c:pt>
              </c:strCache>
            </c:strRef>
          </c:tx>
          <c:spPr>
            <a:solidFill>
              <a:srgbClr val="1BAF7A"/>
            </a:solidFill>
            <a:ln>
              <a:solidFill>
                <a:srgbClr val="1BAF7A"/>
              </a:solidFill>
              <a:prstDash val="solid"/>
            </a:ln>
          </c:spPr>
          <c:invertIfNegative val="0"/>
          <c:cat>
            <c:strRef>
              <c:f>Dashboard!$C$93:$F$93</c:f>
              <c:strCache>
                <c:ptCount val="4"/>
                <c:pt idx="0">
                  <c:v>FY2024A</c:v>
                </c:pt>
                <c:pt idx="1">
                  <c:v>FY2025A</c:v>
                </c:pt>
                <c:pt idx="2">
                  <c:v>FY2026A</c:v>
                </c:pt>
                <c:pt idx="3">
                  <c:v>FY2027E</c:v>
                </c:pt>
              </c:strCache>
            </c:strRef>
          </c:cat>
          <c:val>
            <c:numRef>
              <c:f>Dashboard!$C$96:$F$96</c:f>
              <c:numCache>
                <c:formatCode>#\ ##0;[Red]\-#\ ##0</c:formatCode>
                <c:ptCount val="4"/>
                <c:pt idx="0">
                  <c:v>74071</c:v>
                </c:pt>
                <c:pt idx="1">
                  <c:v>71611</c:v>
                </c:pt>
                <c:pt idx="2">
                  <c:v>66987</c:v>
                </c:pt>
                <c:pt idx="3">
                  <c:v>23023.169494776026</c:v>
                </c:pt>
              </c:numCache>
            </c:numRef>
          </c:val>
          <c:extLst>
            <c:ext xmlns:c16="http://schemas.microsoft.com/office/drawing/2014/chart" uri="{C3380CC4-5D6E-409C-BE32-E72D297353CC}">
              <c16:uniqueId val="{00000002-4CD3-C343-85E7-02469C3E0B81}"/>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Investment intensity: cash capex and D&amp;A as % of revenue</a:t>
            </a:r>
          </a:p>
        </c:rich>
      </c:tx>
      <c:overlay val="0"/>
    </c:title>
    <c:autoTitleDeleted val="0"/>
    <c:plotArea>
      <c:layout/>
      <c:lineChart>
        <c:grouping val="standard"/>
        <c:varyColors val="0"/>
        <c:ser>
          <c:idx val="0"/>
          <c:order val="0"/>
          <c:tx>
            <c:strRef>
              <c:f>Dashboard!$B$100</c:f>
              <c:strCache>
                <c:ptCount val="1"/>
                <c:pt idx="0">
                  <c:v>Cash capex as % of revenue</c:v>
                </c:pt>
              </c:strCache>
            </c:strRef>
          </c:tx>
          <c:spPr>
            <a:ln w="25400">
              <a:solidFill>
                <a:srgbClr val="2A78D6"/>
              </a:solidFill>
              <a:prstDash val="solid"/>
            </a:ln>
          </c:spPr>
          <c:marker>
            <c:symbol val="none"/>
          </c:marker>
          <c:cat>
            <c:strRef>
              <c:f>Dashboard!$C$99:$F$99</c:f>
              <c:strCache>
                <c:ptCount val="4"/>
                <c:pt idx="0">
                  <c:v>FY2024A</c:v>
                </c:pt>
                <c:pt idx="1">
                  <c:v>FY2025A</c:v>
                </c:pt>
                <c:pt idx="2">
                  <c:v>FY2026A</c:v>
                </c:pt>
                <c:pt idx="3">
                  <c:v>FY2027E</c:v>
                </c:pt>
              </c:strCache>
            </c:strRef>
          </c:cat>
          <c:val>
            <c:numRef>
              <c:f>Dashboard!$C$100:$F$100</c:f>
              <c:numCache>
                <c:formatCode>0.0%;[Red]\-0.0%</c:formatCode>
                <c:ptCount val="4"/>
                <c:pt idx="0">
                  <c:v>0.18144842160230415</c:v>
                </c:pt>
                <c:pt idx="1">
                  <c:v>0.22912850875324786</c:v>
                </c:pt>
                <c:pt idx="2">
                  <c:v>0.34941040685392616</c:v>
                </c:pt>
                <c:pt idx="3">
                  <c:v>0.47610792124553963</c:v>
                </c:pt>
              </c:numCache>
            </c:numRef>
          </c:val>
          <c:smooth val="0"/>
          <c:extLst>
            <c:ext xmlns:c16="http://schemas.microsoft.com/office/drawing/2014/chart" uri="{C3380CC4-5D6E-409C-BE32-E72D297353CC}">
              <c16:uniqueId val="{00000000-29E1-6A41-838A-F0A533C87C9B}"/>
            </c:ext>
          </c:extLst>
        </c:ser>
        <c:ser>
          <c:idx val="1"/>
          <c:order val="1"/>
          <c:tx>
            <c:strRef>
              <c:f>Dashboard!$B$101</c:f>
              <c:strCache>
                <c:ptCount val="1"/>
                <c:pt idx="0">
                  <c:v>D&amp;A as % of revenue</c:v>
                </c:pt>
              </c:strCache>
            </c:strRef>
          </c:tx>
          <c:spPr>
            <a:ln w="25400">
              <a:solidFill>
                <a:srgbClr val="EB6834"/>
              </a:solidFill>
              <a:prstDash val="solid"/>
            </a:ln>
          </c:spPr>
          <c:marker>
            <c:symbol val="none"/>
          </c:marker>
          <c:cat>
            <c:strRef>
              <c:f>Dashboard!$C$99:$F$99</c:f>
              <c:strCache>
                <c:ptCount val="4"/>
                <c:pt idx="0">
                  <c:v>FY2024A</c:v>
                </c:pt>
                <c:pt idx="1">
                  <c:v>FY2025A</c:v>
                </c:pt>
                <c:pt idx="2">
                  <c:v>FY2026A</c:v>
                </c:pt>
                <c:pt idx="3">
                  <c:v>FY2027E</c:v>
                </c:pt>
              </c:strCache>
            </c:strRef>
          </c:cat>
          <c:val>
            <c:numRef>
              <c:f>Dashboard!$C$101:$F$101</c:f>
              <c:numCache>
                <c:formatCode>0.0%;[Red]\-0.0%</c:formatCode>
                <c:ptCount val="4"/>
                <c:pt idx="0">
                  <c:v>8.5500281492481289E-2</c:v>
                </c:pt>
                <c:pt idx="1">
                  <c:v>0.10447459215402309</c:v>
                </c:pt>
                <c:pt idx="2">
                  <c:v>0.11612257751499974</c:v>
                </c:pt>
                <c:pt idx="3">
                  <c:v>0.14304576719357665</c:v>
                </c:pt>
              </c:numCache>
            </c:numRef>
          </c:val>
          <c:smooth val="0"/>
          <c:extLst>
            <c:ext xmlns:c16="http://schemas.microsoft.com/office/drawing/2014/chart" uri="{C3380CC4-5D6E-409C-BE32-E72D297353CC}">
              <c16:uniqueId val="{00000001-29E1-6A41-838A-F0A533C87C9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1"/>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FY2027E by scenario (USD m)</a:t>
            </a:r>
          </a:p>
        </c:rich>
      </c:tx>
      <c:overlay val="0"/>
    </c:title>
    <c:autoTitleDeleted val="0"/>
    <c:plotArea>
      <c:layout/>
      <c:barChart>
        <c:barDir val="col"/>
        <c:grouping val="clustered"/>
        <c:varyColors val="0"/>
        <c:ser>
          <c:idx val="0"/>
          <c:order val="0"/>
          <c:tx>
            <c:strRef>
              <c:f>Dashboard!$B$105</c:f>
              <c:strCache>
                <c:ptCount val="1"/>
                <c:pt idx="0">
                  <c:v>Base</c:v>
                </c:pt>
              </c:strCache>
            </c:strRef>
          </c:tx>
          <c:spPr>
            <a:solidFill>
              <a:srgbClr val="2A78D6"/>
            </a:solidFill>
            <a:ln>
              <a:solidFill>
                <a:srgbClr val="2A78D6"/>
              </a:solidFill>
              <a:prstDash val="solid"/>
            </a:ln>
          </c:spPr>
          <c:invertIfNegative val="0"/>
          <c:cat>
            <c:strRef>
              <c:f>Dashboard!$C$104:$E$104</c:f>
              <c:strCache>
                <c:ptCount val="3"/>
                <c:pt idx="0">
                  <c:v>Operating income</c:v>
                </c:pt>
                <c:pt idx="1">
                  <c:v>Operating cash flow</c:v>
                </c:pt>
                <c:pt idx="2">
                  <c:v>Free cash flow</c:v>
                </c:pt>
              </c:strCache>
            </c:strRef>
          </c:cat>
          <c:val>
            <c:numRef>
              <c:f>Dashboard!$C$105:$E$105</c:f>
              <c:numCache>
                <c:formatCode>#\ ##0;[Red]\-#\ ##0</c:formatCode>
                <c:ptCount val="3"/>
                <c:pt idx="0">
                  <c:v>177032.61498097004</c:v>
                </c:pt>
                <c:pt idx="1">
                  <c:v>207023.16949477603</c:v>
                </c:pt>
                <c:pt idx="2">
                  <c:v>23023.169494776026</c:v>
                </c:pt>
              </c:numCache>
            </c:numRef>
          </c:val>
          <c:extLst>
            <c:ext xmlns:c16="http://schemas.microsoft.com/office/drawing/2014/chart" uri="{C3380CC4-5D6E-409C-BE32-E72D297353CC}">
              <c16:uniqueId val="{00000000-A05E-8541-8B01-0C100B195036}"/>
            </c:ext>
          </c:extLst>
        </c:ser>
        <c:ser>
          <c:idx val="1"/>
          <c:order val="1"/>
          <c:tx>
            <c:strRef>
              <c:f>Dashboard!$B$106</c:f>
              <c:strCache>
                <c:ptCount val="1"/>
                <c:pt idx="0">
                  <c:v>Upside</c:v>
                </c:pt>
              </c:strCache>
            </c:strRef>
          </c:tx>
          <c:spPr>
            <a:solidFill>
              <a:srgbClr val="1BAF7A"/>
            </a:solidFill>
            <a:ln>
              <a:solidFill>
                <a:srgbClr val="1BAF7A"/>
              </a:solidFill>
              <a:prstDash val="solid"/>
            </a:ln>
          </c:spPr>
          <c:invertIfNegative val="0"/>
          <c:cat>
            <c:strRef>
              <c:f>Dashboard!$C$104:$E$104</c:f>
              <c:strCache>
                <c:ptCount val="3"/>
                <c:pt idx="0">
                  <c:v>Operating income</c:v>
                </c:pt>
                <c:pt idx="1">
                  <c:v>Operating cash flow</c:v>
                </c:pt>
                <c:pt idx="2">
                  <c:v>Free cash flow</c:v>
                </c:pt>
              </c:strCache>
            </c:strRef>
          </c:cat>
          <c:val>
            <c:numRef>
              <c:f>Dashboard!$C$106:$E$106</c:f>
              <c:numCache>
                <c:formatCode>#\ ##0;[Red]\-#\ ##0</c:formatCode>
                <c:ptCount val="3"/>
                <c:pt idx="0">
                  <c:v>191559.28238737897</c:v>
                </c:pt>
                <c:pt idx="1">
                  <c:v>218473.6355449032</c:v>
                </c:pt>
                <c:pt idx="2">
                  <c:v>38473.635544903198</c:v>
                </c:pt>
              </c:numCache>
            </c:numRef>
          </c:val>
          <c:extLst>
            <c:ext xmlns:c16="http://schemas.microsoft.com/office/drawing/2014/chart" uri="{C3380CC4-5D6E-409C-BE32-E72D297353CC}">
              <c16:uniqueId val="{00000001-A05E-8541-8B01-0C100B195036}"/>
            </c:ext>
          </c:extLst>
        </c:ser>
        <c:ser>
          <c:idx val="2"/>
          <c:order val="2"/>
          <c:tx>
            <c:strRef>
              <c:f>Dashboard!$B$107</c:f>
              <c:strCache>
                <c:ptCount val="1"/>
                <c:pt idx="0">
                  <c:v>Downside</c:v>
                </c:pt>
              </c:strCache>
            </c:strRef>
          </c:tx>
          <c:spPr>
            <a:solidFill>
              <a:srgbClr val="EB6834"/>
            </a:solidFill>
            <a:ln>
              <a:solidFill>
                <a:srgbClr val="EB6834"/>
              </a:solidFill>
              <a:prstDash val="solid"/>
            </a:ln>
          </c:spPr>
          <c:invertIfNegative val="0"/>
          <c:cat>
            <c:strRef>
              <c:f>Dashboard!$C$104:$E$104</c:f>
              <c:strCache>
                <c:ptCount val="3"/>
                <c:pt idx="0">
                  <c:v>Operating income</c:v>
                </c:pt>
                <c:pt idx="1">
                  <c:v>Operating cash flow</c:v>
                </c:pt>
                <c:pt idx="2">
                  <c:v>Free cash flow</c:v>
                </c:pt>
              </c:strCache>
            </c:strRef>
          </c:cat>
          <c:val>
            <c:numRef>
              <c:f>Dashboard!$C$107:$E$107</c:f>
              <c:numCache>
                <c:formatCode>#\ ##0;[Red]\-#\ ##0</c:formatCode>
                <c:ptCount val="3"/>
                <c:pt idx="0">
                  <c:v>153441.02854906861</c:v>
                </c:pt>
                <c:pt idx="1">
                  <c:v>185898.3196942549</c:v>
                </c:pt>
                <c:pt idx="2">
                  <c:v>-9101.6803057451034</c:v>
                </c:pt>
              </c:numCache>
            </c:numRef>
          </c:val>
          <c:extLst>
            <c:ext xmlns:c16="http://schemas.microsoft.com/office/drawing/2014/chart" uri="{C3380CC4-5D6E-409C-BE32-E72D297353CC}">
              <c16:uniqueId val="{00000002-A05E-8541-8B01-0C100B195036}"/>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c:style val="2"/>
  <c:chart>
    <c:title>
      <c:tx>
        <c:rich>
          <a:bodyPr/>
          <a:lstStyle/>
          <a:p>
            <a:pPr>
              <a:defRPr/>
            </a:pPr>
            <a:r>
              <a:t>Illustrative incremental capex: depreciation and after-tax cash flow by year (USD m)</a:t>
            </a:r>
          </a:p>
        </c:rich>
      </c:tx>
      <c:overlay val="0"/>
    </c:title>
    <c:autoTitleDeleted val="0"/>
    <c:plotArea>
      <c:layout/>
      <c:barChart>
        <c:barDir val="col"/>
        <c:grouping val="clustered"/>
        <c:varyColors val="0"/>
        <c:ser>
          <c:idx val="0"/>
          <c:order val="0"/>
          <c:tx>
            <c:strRef>
              <c:f>Dashboard!$B$111</c:f>
              <c:strCache>
                <c:ptCount val="1"/>
                <c:pt idx="0">
                  <c:v>Incremental depreciation</c:v>
                </c:pt>
              </c:strCache>
            </c:strRef>
          </c:tx>
          <c:spPr>
            <a:solidFill>
              <a:srgbClr val="2A78D6"/>
            </a:solidFill>
            <a:ln>
              <a:solidFill>
                <a:srgbClr val="2A78D6"/>
              </a:solidFill>
              <a:prstDash val="solid"/>
            </a:ln>
          </c:spPr>
          <c:invertIfNegative val="0"/>
          <c:cat>
            <c:strRef>
              <c:f>Dashboard!$C$110:$L$110</c:f>
              <c:strCache>
                <c:ptCount val="10"/>
                <c:pt idx="0">
                  <c:v>FY2027</c:v>
                </c:pt>
                <c:pt idx="1">
                  <c:v>FY2028</c:v>
                </c:pt>
                <c:pt idx="2">
                  <c:v>FY2029</c:v>
                </c:pt>
                <c:pt idx="3">
                  <c:v>FY2030</c:v>
                </c:pt>
                <c:pt idx="4">
                  <c:v>FY2031</c:v>
                </c:pt>
                <c:pt idx="5">
                  <c:v>FY2032</c:v>
                </c:pt>
                <c:pt idx="6">
                  <c:v>FY2033</c:v>
                </c:pt>
                <c:pt idx="7">
                  <c:v>FY2034</c:v>
                </c:pt>
                <c:pt idx="8">
                  <c:v>FY2035</c:v>
                </c:pt>
                <c:pt idx="9">
                  <c:v>FY2036</c:v>
                </c:pt>
              </c:strCache>
            </c:strRef>
          </c:cat>
          <c:val>
            <c:numRef>
              <c:f>Dashboard!$C$111:$L$111</c:f>
              <c:numCache>
                <c:formatCode>#\ ##0;[Red]\-#\ ##0</c:formatCode>
                <c:ptCount val="10"/>
                <c:pt idx="0">
                  <c:v>1248.6666666666667</c:v>
                </c:pt>
                <c:pt idx="1">
                  <c:v>2497.3333333333335</c:v>
                </c:pt>
                <c:pt idx="2">
                  <c:v>2497.3333333333335</c:v>
                </c:pt>
                <c:pt idx="3">
                  <c:v>2497.3333333333335</c:v>
                </c:pt>
                <c:pt idx="4">
                  <c:v>2497.3333333333335</c:v>
                </c:pt>
                <c:pt idx="5">
                  <c:v>2497.3333333333335</c:v>
                </c:pt>
                <c:pt idx="6">
                  <c:v>1380.6666666666667</c:v>
                </c:pt>
                <c:pt idx="7">
                  <c:v>263.99999999999994</c:v>
                </c:pt>
                <c:pt idx="8">
                  <c:v>263.99999999999994</c:v>
                </c:pt>
                <c:pt idx="9">
                  <c:v>263.99999999999994</c:v>
                </c:pt>
              </c:numCache>
            </c:numRef>
          </c:val>
          <c:extLst>
            <c:ext xmlns:c16="http://schemas.microsoft.com/office/drawing/2014/chart" uri="{C3380CC4-5D6E-409C-BE32-E72D297353CC}">
              <c16:uniqueId val="{00000000-D434-1C43-96CE-840673683ACC}"/>
            </c:ext>
          </c:extLst>
        </c:ser>
        <c:ser>
          <c:idx val="1"/>
          <c:order val="1"/>
          <c:tx>
            <c:strRef>
              <c:f>Dashboard!$B$112</c:f>
              <c:strCache>
                <c:ptCount val="1"/>
                <c:pt idx="0">
                  <c:v>After-tax cash flow</c:v>
                </c:pt>
              </c:strCache>
            </c:strRef>
          </c:tx>
          <c:spPr>
            <a:solidFill>
              <a:srgbClr val="EB6834"/>
            </a:solidFill>
            <a:ln>
              <a:solidFill>
                <a:srgbClr val="EB6834"/>
              </a:solidFill>
              <a:prstDash val="solid"/>
            </a:ln>
          </c:spPr>
          <c:invertIfNegative val="0"/>
          <c:cat>
            <c:strRef>
              <c:f>Dashboard!$C$110:$L$110</c:f>
              <c:strCache>
                <c:ptCount val="10"/>
                <c:pt idx="0">
                  <c:v>FY2027</c:v>
                </c:pt>
                <c:pt idx="1">
                  <c:v>FY2028</c:v>
                </c:pt>
                <c:pt idx="2">
                  <c:v>FY2029</c:v>
                </c:pt>
                <c:pt idx="3">
                  <c:v>FY2030</c:v>
                </c:pt>
                <c:pt idx="4">
                  <c:v>FY2031</c:v>
                </c:pt>
                <c:pt idx="5">
                  <c:v>FY2032</c:v>
                </c:pt>
                <c:pt idx="6">
                  <c:v>FY2033</c:v>
                </c:pt>
                <c:pt idx="7">
                  <c:v>FY2034</c:v>
                </c:pt>
                <c:pt idx="8">
                  <c:v>FY2035</c:v>
                </c:pt>
                <c:pt idx="9">
                  <c:v>FY2036</c:v>
                </c:pt>
              </c:strCache>
            </c:strRef>
          </c:cat>
          <c:val>
            <c:numRef>
              <c:f>Dashboard!$C$112:$L$112</c:f>
              <c:numCache>
                <c:formatCode>#\ ##0;[Red]\-#\ ##0</c:formatCode>
                <c:ptCount val="10"/>
                <c:pt idx="0">
                  <c:v>-17830.266666666666</c:v>
                </c:pt>
                <c:pt idx="1">
                  <c:v>4339.4666666666672</c:v>
                </c:pt>
                <c:pt idx="2">
                  <c:v>4339.4666666666672</c:v>
                </c:pt>
                <c:pt idx="3">
                  <c:v>4339.4666666666672</c:v>
                </c:pt>
                <c:pt idx="4">
                  <c:v>4339.4666666666672</c:v>
                </c:pt>
                <c:pt idx="5">
                  <c:v>4339.4666666666672</c:v>
                </c:pt>
                <c:pt idx="6">
                  <c:v>2196.1333333333332</c:v>
                </c:pt>
                <c:pt idx="7">
                  <c:v>52.79999999999999</c:v>
                </c:pt>
                <c:pt idx="8">
                  <c:v>52.79999999999999</c:v>
                </c:pt>
                <c:pt idx="9">
                  <c:v>52.79999999999999</c:v>
                </c:pt>
              </c:numCache>
            </c:numRef>
          </c:val>
          <c:extLst>
            <c:ext xmlns:c16="http://schemas.microsoft.com/office/drawing/2014/chart" uri="{C3380CC4-5D6E-409C-BE32-E72D297353CC}">
              <c16:uniqueId val="{00000001-D434-1C43-96CE-840673683ACC}"/>
            </c:ext>
          </c:extLst>
        </c:ser>
        <c:dLbls>
          <c:showLegendKey val="0"/>
          <c:showVal val="0"/>
          <c:showCatName val="0"/>
          <c:showSerName val="0"/>
          <c:showPercent val="0"/>
          <c:showBubbleSize val="0"/>
        </c:dLbls>
        <c:gapWidth val="150"/>
        <c:axId val="10"/>
        <c:axId val="100"/>
      </c:barChart>
      <c:catAx>
        <c:axId val="10"/>
        <c:scaling>
          <c:orientation val="minMax"/>
        </c:scaling>
        <c:delete val="0"/>
        <c:axPos val="b"/>
        <c:numFmt formatCode="General" sourceLinked="1"/>
        <c:majorTickMark val="none"/>
        <c:minorTickMark val="none"/>
        <c:tickLblPos val="low"/>
        <c:crossAx val="100"/>
        <c:crosses val="autoZero"/>
        <c:auto val="1"/>
        <c:lblAlgn val="ctr"/>
        <c:lblOffset val="100"/>
        <c:noMultiLvlLbl val="1"/>
      </c:catAx>
      <c:valAx>
        <c:axId val="100"/>
        <c:scaling>
          <c:orientation val="minMax"/>
        </c:scaling>
        <c:delete val="0"/>
        <c:axPos val="l"/>
        <c:majorGridlines/>
        <c:numFmt formatCode="#,##0" sourceLinked="0"/>
        <c:majorTickMark val="none"/>
        <c:minorTickMark val="none"/>
        <c:tickLblPos val="nextTo"/>
        <c:crossAx val="10"/>
        <c:crosses val="autoZero"/>
        <c:crossBetween val="between"/>
      </c:valAx>
    </c:plotArea>
    <c:legend>
      <c:legendPos val="t"/>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0</xdr:rowOff>
    </xdr:from>
    <xdr:ext cx="5940000" cy="2951999"/>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7</xdr:col>
      <xdr:colOff>0</xdr:colOff>
      <xdr:row>9</xdr:row>
      <xdr:rowOff>0</xdr:rowOff>
    </xdr:from>
    <xdr:ext cx="5940000" cy="2951999"/>
    <xdr:graphicFrame macro="">
      <xdr:nvGraphicFramePr>
        <xdr:cNvPr id="3" name="Chart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27</xdr:row>
      <xdr:rowOff>0</xdr:rowOff>
    </xdr:from>
    <xdr:ext cx="5940000" cy="2951999"/>
    <xdr:graphicFrame macro="">
      <xdr:nvGraphicFramePr>
        <xdr:cNvPr id="4" name="Chart 3">
          <a:extLst>
            <a:ext uri="{FF2B5EF4-FFF2-40B4-BE49-F238E27FC236}">
              <a16:creationId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oneCellAnchor>
  <xdr:oneCellAnchor>
    <xdr:from>
      <xdr:col>7</xdr:col>
      <xdr:colOff>0</xdr:colOff>
      <xdr:row>27</xdr:row>
      <xdr:rowOff>0</xdr:rowOff>
    </xdr:from>
    <xdr:ext cx="5940000" cy="2951999"/>
    <xdr:graphicFrame macro="">
      <xdr:nvGraphicFramePr>
        <xdr:cNvPr id="5"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oneCellAnchor>
  <xdr:oneCellAnchor>
    <xdr:from>
      <xdr:col>1</xdr:col>
      <xdr:colOff>0</xdr:colOff>
      <xdr:row>45</xdr:row>
      <xdr:rowOff>0</xdr:rowOff>
    </xdr:from>
    <xdr:ext cx="5940000" cy="2951999"/>
    <xdr:graphicFrame macro="">
      <xdr:nvGraphicFramePr>
        <xdr:cNvPr id="6" name="Chart 5">
          <a:extLst>
            <a:ext uri="{FF2B5EF4-FFF2-40B4-BE49-F238E27FC236}">
              <a16:creationId xmlns:a16="http://schemas.microsoft.com/office/drawing/2014/main" id="{00000000-0008-0000-0A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7</xdr:col>
      <xdr:colOff>0</xdr:colOff>
      <xdr:row>45</xdr:row>
      <xdr:rowOff>0</xdr:rowOff>
    </xdr:from>
    <xdr:ext cx="5940000" cy="2951999"/>
    <xdr:graphicFrame macro="">
      <xdr:nvGraphicFramePr>
        <xdr:cNvPr id="7" name="Chart 6">
          <a:extLst>
            <a:ext uri="{FF2B5EF4-FFF2-40B4-BE49-F238E27FC236}">
              <a16:creationId xmlns:a16="http://schemas.microsoft.com/office/drawing/2014/main" id="{00000000-0008-0000-0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Sources" displayName="tblSources" ref="A5:N22">
  <autoFilter ref="A5:N22" xr:uid="{00000000-0009-0000-0100-000001000000}"/>
  <tableColumns count="14">
    <tableColumn id="1" xr3:uid="{00000000-0010-0000-0000-000001000000}" name="Source Id"/>
    <tableColumn id="2" xr3:uid="{00000000-0010-0000-0000-000002000000}" name="Document Title"/>
    <tableColumn id="3" xr3:uid="{00000000-0010-0000-0000-000003000000}" name="Publisher"/>
    <tableColumn id="4" xr3:uid="{00000000-0010-0000-0000-000004000000}" name="Publication Date"/>
    <tableColumn id="5" xr3:uid="{00000000-0010-0000-0000-000005000000}" name="Reporting Period"/>
    <tableColumn id="6" xr3:uid="{00000000-0010-0000-0000-000006000000}" name="Url"/>
    <tableColumn id="7" xr3:uid="{00000000-0010-0000-0000-000007000000}" name="Sheet Or Section Reference"/>
    <tableColumn id="8" xr3:uid="{00000000-0010-0000-0000-000008000000}" name="Currency"/>
    <tableColumn id="9" xr3:uid="{00000000-0010-0000-0000-000009000000}" name="Unit"/>
    <tableColumn id="10" xr3:uid="{00000000-0010-0000-0000-00000A000000}" name="Accounting Basis"/>
    <tableColumn id="11" xr3:uid="{00000000-0010-0000-0000-00000B000000}" name="Audit Status"/>
    <tableColumn id="12" xr3:uid="{00000000-0010-0000-0000-00000C000000}" name="Extraction Method"/>
    <tableColumn id="13" xr3:uid="{00000000-0010-0000-0000-00000D000000}" name="Used For"/>
    <tableColumn id="14" xr3:uid="{00000000-0010-0000-0000-00000E000000}" name="Accessed Dat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Q" displayName="tblQ" ref="A6:Q31">
  <autoFilter ref="A6:Q31" xr:uid="{00000000-0009-0000-0100-000002000000}"/>
  <tableColumns count="17">
    <tableColumn id="1" xr3:uid="{00000000-0010-0000-0100-000001000000}" name="Code"/>
    <tableColumn id="2" xr3:uid="{00000000-0010-0000-0100-000002000000}" name="Line item"/>
    <tableColumn id="3" xr3:uid="{00000000-0010-0000-0100-000003000000}" name="Unit"/>
    <tableColumn id="4" xr3:uid="{00000000-0010-0000-0100-000004000000}" name="Basis"/>
    <tableColumn id="5" xr3:uid="{00000000-0010-0000-0100-000005000000}" name="Q1 FY24"/>
    <tableColumn id="6" xr3:uid="{00000000-0010-0000-0100-000006000000}" name="Q2 FY24"/>
    <tableColumn id="7" xr3:uid="{00000000-0010-0000-0100-000007000000}" name="Q3 FY24"/>
    <tableColumn id="8" xr3:uid="{00000000-0010-0000-0100-000008000000}" name="Q4 FY24"/>
    <tableColumn id="9" xr3:uid="{00000000-0010-0000-0100-000009000000}" name="Q1 FY25"/>
    <tableColumn id="10" xr3:uid="{00000000-0010-0000-0100-00000A000000}" name="Q2 FY25"/>
    <tableColumn id="11" xr3:uid="{00000000-0010-0000-0100-00000B000000}" name="Q3 FY25"/>
    <tableColumn id="12" xr3:uid="{00000000-0010-0000-0100-00000C000000}" name="Q4 FY25"/>
    <tableColumn id="13" xr3:uid="{00000000-0010-0000-0100-00000D000000}" name="Q1 FY26"/>
    <tableColumn id="14" xr3:uid="{00000000-0010-0000-0100-00000E000000}" name="Q2 FY26"/>
    <tableColumn id="15" xr3:uid="{00000000-0010-0000-0100-00000F000000}" name="Q3 FY26"/>
    <tableColumn id="16" xr3:uid="{00000000-0010-0000-0100-000010000000}" name="Q4 FY26"/>
    <tableColumn id="17" xr3:uid="{00000000-0010-0000-0100-000011000000}" name="Sourc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Seg" displayName="tblSeg" ref="A36:Q52">
  <autoFilter ref="A36:Q52" xr:uid="{00000000-0009-0000-0100-000003000000}"/>
  <tableColumns count="17">
    <tableColumn id="1" xr3:uid="{00000000-0010-0000-0200-000001000000}" name="Code"/>
    <tableColumn id="2" xr3:uid="{00000000-0010-0000-0200-000002000000}" name="Segment"/>
    <tableColumn id="3" xr3:uid="{00000000-0010-0000-0200-000003000000}" name="Measure"/>
    <tableColumn id="4" xr3:uid="{00000000-0010-0000-0200-000004000000}" name="Unit"/>
    <tableColumn id="5" xr3:uid="{00000000-0010-0000-0200-000005000000}" name="Q1 FY24"/>
    <tableColumn id="6" xr3:uid="{00000000-0010-0000-0200-000006000000}" name="Q2 FY24"/>
    <tableColumn id="7" xr3:uid="{00000000-0010-0000-0200-000007000000}" name="Q3 FY24"/>
    <tableColumn id="8" xr3:uid="{00000000-0010-0000-0200-000008000000}" name="Q4 FY24"/>
    <tableColumn id="9" xr3:uid="{00000000-0010-0000-0200-000009000000}" name="Q1 FY25"/>
    <tableColumn id="10" xr3:uid="{00000000-0010-0000-0200-00000A000000}" name="Q2 FY25"/>
    <tableColumn id="11" xr3:uid="{00000000-0010-0000-0200-00000B000000}" name="Q3 FY25"/>
    <tableColumn id="12" xr3:uid="{00000000-0010-0000-0200-00000C000000}" name="Q4 FY25"/>
    <tableColumn id="13" xr3:uid="{00000000-0010-0000-0200-00000D000000}" name="Q1 FY26"/>
    <tableColumn id="14" xr3:uid="{00000000-0010-0000-0200-00000E000000}" name="Q2 FY26"/>
    <tableColumn id="15" xr3:uid="{00000000-0010-0000-0200-00000F000000}" name="Q3 FY26"/>
    <tableColumn id="16" xr3:uid="{00000000-0010-0000-0200-000010000000}" name="Q4 FY26"/>
    <tableColumn id="17" xr3:uid="{00000000-0010-0000-0200-000011000000}" name="Sourc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Prod" displayName="tblProd" ref="A57:Q68">
  <autoFilter ref="A57:Q68" xr:uid="{00000000-0009-0000-0100-000004000000}"/>
  <tableColumns count="17">
    <tableColumn id="1" xr3:uid="{00000000-0010-0000-0300-000001000000}" name="Code"/>
    <tableColumn id="2" xr3:uid="{00000000-0010-0000-0300-000002000000}" name="Line item"/>
    <tableColumn id="3" xr3:uid="{00000000-0010-0000-0300-000003000000}" name="Unit"/>
    <tableColumn id="4" xr3:uid="{00000000-0010-0000-0300-000004000000}" name="Basis"/>
    <tableColumn id="5" xr3:uid="{00000000-0010-0000-0300-000005000000}" name="Q1 FY24"/>
    <tableColumn id="6" xr3:uid="{00000000-0010-0000-0300-000006000000}" name="Q2 FY24"/>
    <tableColumn id="7" xr3:uid="{00000000-0010-0000-0300-000007000000}" name="Q3 FY24"/>
    <tableColumn id="8" xr3:uid="{00000000-0010-0000-0300-000008000000}" name="Q4 FY24"/>
    <tableColumn id="9" xr3:uid="{00000000-0010-0000-0300-000009000000}" name="Q1 FY25"/>
    <tableColumn id="10" xr3:uid="{00000000-0010-0000-0300-00000A000000}" name="Q2 FY25"/>
    <tableColumn id="11" xr3:uid="{00000000-0010-0000-0300-00000B000000}" name="Q3 FY25"/>
    <tableColumn id="12" xr3:uid="{00000000-0010-0000-0300-00000C000000}" name="Q4 FY25"/>
    <tableColumn id="13" xr3:uid="{00000000-0010-0000-0300-00000D000000}" name="Q1 FY26"/>
    <tableColumn id="14" xr3:uid="{00000000-0010-0000-0300-00000E000000}" name="Q2 FY26"/>
    <tableColumn id="15" xr3:uid="{00000000-0010-0000-0300-00000F000000}" name="Q3 FY26"/>
    <tableColumn id="16" xr3:uid="{00000000-0010-0000-0300-000010000000}" name="Q4 FY26"/>
    <tableColumn id="17" xr3:uid="{00000000-0010-0000-0300-000011000000}" name="Sourc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YTD" displayName="tblYTD" ref="A73:Q76">
  <autoFilter ref="A73:Q76" xr:uid="{00000000-0009-0000-0100-000005000000}"/>
  <tableColumns count="17">
    <tableColumn id="1" xr3:uid="{00000000-0010-0000-0400-000001000000}" name="Code"/>
    <tableColumn id="2" xr3:uid="{00000000-0010-0000-0400-000002000000}" name="Line item"/>
    <tableColumn id="3" xr3:uid="{00000000-0010-0000-0400-000003000000}" name="Unit"/>
    <tableColumn id="4" xr3:uid="{00000000-0010-0000-0400-000004000000}" name="Basis"/>
    <tableColumn id="5" xr3:uid="{00000000-0010-0000-0400-000005000000}" name="Q1 FY24"/>
    <tableColumn id="6" xr3:uid="{00000000-0010-0000-0400-000006000000}" name="Q2 FY24"/>
    <tableColumn id="7" xr3:uid="{00000000-0010-0000-0400-000007000000}" name="Q3 FY24"/>
    <tableColumn id="8" xr3:uid="{00000000-0010-0000-0400-000008000000}" name="Q4 FY24"/>
    <tableColumn id="9" xr3:uid="{00000000-0010-0000-0400-000009000000}" name="Q1 FY25"/>
    <tableColumn id="10" xr3:uid="{00000000-0010-0000-0400-00000A000000}" name="Q2 FY25"/>
    <tableColumn id="11" xr3:uid="{00000000-0010-0000-0400-00000B000000}" name="Q3 FY25"/>
    <tableColumn id="12" xr3:uid="{00000000-0010-0000-0400-00000C000000}" name="Q4 FY25"/>
    <tableColumn id="13" xr3:uid="{00000000-0010-0000-0400-00000D000000}" name="Q1 FY26"/>
    <tableColumn id="14" xr3:uid="{00000000-0010-0000-0400-00000E000000}" name="Q2 FY26"/>
    <tableColumn id="15" xr3:uid="{00000000-0010-0000-0400-00000F000000}" name="Q3 FY26"/>
    <tableColumn id="16" xr3:uid="{00000000-0010-0000-0400-000010000000}" name="Q4 FY26"/>
    <tableColumn id="17" xr3:uid="{00000000-0010-0000-0400-000011000000}" name="Sourc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blAnnual" displayName="tblAnnual" ref="A81:I106">
  <autoFilter ref="A81:I106" xr:uid="{00000000-0009-0000-0100-000006000000}"/>
  <tableColumns count="9">
    <tableColumn id="1" xr3:uid="{00000000-0010-0000-0500-000001000000}" name="Code"/>
    <tableColumn id="2" xr3:uid="{00000000-0010-0000-0500-000002000000}" name="Item"/>
    <tableColumn id="3" xr3:uid="{00000000-0010-0000-0500-000003000000}" name="Unit"/>
    <tableColumn id="4" xr3:uid="{00000000-0010-0000-0500-000004000000}" name="FY2023"/>
    <tableColumn id="5" xr3:uid="{00000000-0010-0000-0500-000005000000}" name="FY2024"/>
    <tableColumn id="6" xr3:uid="{00000000-0010-0000-0500-000006000000}" name="FY2025"/>
    <tableColumn id="7" xr3:uid="{00000000-0010-0000-0500-000007000000}" name="FY2026"/>
    <tableColumn id="8" xr3:uid="{00000000-0010-0000-0500-000008000000}" name="Source"/>
    <tableColumn id="9" xr3:uid="{00000000-0010-0000-0500-000009000000}" name="Referenc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blGuidance" displayName="tblGuidance" ref="A111:I127">
  <autoFilter ref="A111:I127" xr:uid="{00000000-0009-0000-0100-000007000000}"/>
  <tableColumns count="9">
    <tableColumn id="1" xr3:uid="{00000000-0010-0000-0600-000001000000}" name="ID"/>
    <tableColumn id="2" xr3:uid="{00000000-0010-0000-0600-000002000000}" name="Period"/>
    <tableColumn id="3" xr3:uid="{00000000-0010-0000-0600-000003000000}" name="Metric"/>
    <tableColumn id="4" xr3:uid="{00000000-0010-0000-0600-000004000000}" name="Low"/>
    <tableColumn id="5" xr3:uid="{00000000-0010-0000-0600-000005000000}" name="High"/>
    <tableColumn id="6" xr3:uid="{00000000-0010-0000-0600-000006000000}" name="Unit"/>
    <tableColumn id="7" xr3:uid="{00000000-0010-0000-0600-000007000000}" name="Wording"/>
    <tableColumn id="8" xr3:uid="{00000000-0010-0000-0600-000008000000}" name="Numeric basis"/>
    <tableColumn id="9" xr3:uid="{00000000-0010-0000-0600-000009000000}" name="Sourc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blCall" displayName="tblCall" ref="A132:G137">
  <autoFilter ref="A132:G137" xr:uid="{00000000-0009-0000-0100-000008000000}"/>
  <tableColumns count="7">
    <tableColumn id="1" xr3:uid="{00000000-0010-0000-0700-000001000000}" name="ID"/>
    <tableColumn id="2" xr3:uid="{00000000-0010-0000-0700-000002000000}" name="Period"/>
    <tableColumn id="3" xr3:uid="{00000000-0010-0000-0700-000003000000}" name="Item"/>
    <tableColumn id="4" xr3:uid="{00000000-0010-0000-0700-000004000000}" name="Value"/>
    <tableColumn id="5" xr3:uid="{00000000-0010-0000-0700-000005000000}" name="Unit"/>
    <tableColumn id="6" xr3:uid="{00000000-0010-0000-0700-000006000000}" name="Source"/>
    <tableColumn id="7" xr3:uid="{00000000-0010-0000-0700-000007000000}" name="Referenc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blAssump" displayName="tblAssump" ref="A7:K24">
  <autoFilter ref="A7:K24" xr:uid="{00000000-0009-0000-0100-000009000000}"/>
  <tableColumns count="11">
    <tableColumn id="1" xr3:uid="{00000000-0010-0000-0800-000001000000}" name="ID"/>
    <tableColumn id="2" xr3:uid="{00000000-0010-0000-0800-000002000000}" name="Driver"/>
    <tableColumn id="3" xr3:uid="{00000000-0010-0000-0800-000003000000}" name="Unit"/>
    <tableColumn id="4" xr3:uid="{00000000-0010-0000-0800-000004000000}" name="Base"/>
    <tableColumn id="5" xr3:uid="{00000000-0010-0000-0800-000005000000}" name="Upside"/>
    <tableColumn id="6" xr3:uid="{00000000-0010-0000-0800-000006000000}" name="Downside"/>
    <tableColumn id="7" xr3:uid="{00000000-0010-0000-0800-000007000000}" name="Live"/>
    <tableColumn id="8" xr3:uid="{00000000-0010-0000-0800-000008000000}" name="Historical reference"/>
    <tableColumn id="9" xr3:uid="{00000000-0010-0000-0800-000009000000}" name="Reference basis"/>
    <tableColumn id="10" xr3:uid="{00000000-0010-0000-0800-00000A000000}" name="Management guidance (for comparison)"/>
    <tableColumn id="11" xr3:uid="{00000000-0010-0000-0800-00000B000000}" name="Rationale"/>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blIncr" displayName="tblIncr" ref="A28:E36">
  <autoFilter ref="A28:E36" xr:uid="{00000000-0009-0000-0100-00000A000000}"/>
  <tableColumns count="5">
    <tableColumn id="1" xr3:uid="{00000000-0010-0000-0900-000001000000}" name="ID"/>
    <tableColumn id="2" xr3:uid="{00000000-0010-0000-0900-000002000000}" name="Input"/>
    <tableColumn id="3" xr3:uid="{00000000-0010-0000-0900-000003000000}" name="Unit"/>
    <tableColumn id="4" xr3:uid="{00000000-0010-0000-0900-000004000000}" name="Value"/>
    <tableColumn id="5" xr3:uid="{00000000-0010-0000-0900-000005000000}" name="Basis"/>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blChecks" displayName="tblChecks" ref="A6:I64">
  <autoFilter ref="A6:I64" xr:uid="{00000000-0009-0000-0100-00000B000000}"/>
  <tableColumns count="9">
    <tableColumn id="1" xr3:uid="{00000000-0010-0000-0A00-000001000000}" name="ID"/>
    <tableColumn id="2" xr3:uid="{00000000-0010-0000-0A00-000002000000}" name="Category"/>
    <tableColumn id="3" xr3:uid="{00000000-0010-0000-0A00-000003000000}" name="Check"/>
    <tableColumn id="4" xr3:uid="{00000000-0010-0000-0A00-000004000000}" name="A (model)"/>
    <tableColumn id="5" xr3:uid="{00000000-0010-0000-0A00-000005000000}" name="B (reference)"/>
    <tableColumn id="6" xr3:uid="{00000000-0010-0000-0A00-000006000000}" name="Difference"/>
    <tableColumn id="7" xr3:uid="{00000000-0010-0000-0A00-000007000000}" name="Tolerance"/>
    <tableColumn id="8" xr3:uid="{00000000-0010-0000-0A00-000008000000}" name="Status"/>
    <tableColumn id="9" xr3:uid="{00000000-0010-0000-0A00-000009000000}" name="Comment"/>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5.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1"/>
  <sheetViews>
    <sheetView showGridLines="0" tabSelected="1" workbookViewId="0"/>
  </sheetViews>
  <sheetFormatPr baseColWidth="10" defaultColWidth="8.83203125" defaultRowHeight="15" x14ac:dyDescent="0.2"/>
  <cols>
    <col min="1" max="1" width="30" customWidth="1"/>
    <col min="2" max="2" width="150" customWidth="1"/>
  </cols>
  <sheetData>
    <row r="1" spans="1:2" ht="19" x14ac:dyDescent="0.25">
      <c r="A1" s="1" t="s">
        <v>0</v>
      </c>
    </row>
    <row r="2" spans="1:2" x14ac:dyDescent="0.2">
      <c r="A2" s="2" t="s">
        <v>1</v>
      </c>
    </row>
    <row r="3" spans="1:2" x14ac:dyDescent="0.2">
      <c r="A3" s="3" t="s">
        <v>2</v>
      </c>
    </row>
    <row r="4" spans="1:2" x14ac:dyDescent="0.2">
      <c r="A4" s="4" t="str">
        <f>"Controls status (after recalculation in Excel): "&amp;Checks!B4</f>
        <v>Controls status (after recalculation in Excel): ALL 55 CHECKS PASS (3 information rows)</v>
      </c>
    </row>
    <row r="6" spans="1:2" ht="45" customHeight="1" x14ac:dyDescent="0.2">
      <c r="A6" s="5" t="s">
        <v>3</v>
      </c>
      <c r="B6" s="6" t="s">
        <v>4</v>
      </c>
    </row>
    <row r="7" spans="1:2" ht="30" customHeight="1" x14ac:dyDescent="0.2">
      <c r="A7" s="5" t="s">
        <v>5</v>
      </c>
      <c r="B7" s="6" t="s">
        <v>6</v>
      </c>
    </row>
    <row r="8" spans="1:2" ht="30" customHeight="1" x14ac:dyDescent="0.2">
      <c r="A8" s="5" t="s">
        <v>7</v>
      </c>
      <c r="B8" s="6" t="s">
        <v>8</v>
      </c>
    </row>
    <row r="9" spans="1:2" ht="30" customHeight="1" x14ac:dyDescent="0.2">
      <c r="A9" s="5" t="s">
        <v>9</v>
      </c>
      <c r="B9" s="6" t="s">
        <v>10</v>
      </c>
    </row>
    <row r="10" spans="1:2" ht="60" customHeight="1" x14ac:dyDescent="0.2">
      <c r="A10" s="5" t="s">
        <v>11</v>
      </c>
      <c r="B10" s="6" t="s">
        <v>12</v>
      </c>
    </row>
    <row r="11" spans="1:2" ht="60" customHeight="1" x14ac:dyDescent="0.2">
      <c r="A11" s="5" t="s">
        <v>13</v>
      </c>
      <c r="B11" s="6" t="s">
        <v>14</v>
      </c>
    </row>
    <row r="12" spans="1:2" ht="30" customHeight="1" x14ac:dyDescent="0.2">
      <c r="A12" s="5" t="s">
        <v>15</v>
      </c>
      <c r="B12" s="6" t="s">
        <v>16</v>
      </c>
    </row>
    <row r="13" spans="1:2" ht="60" customHeight="1" x14ac:dyDescent="0.2">
      <c r="A13" s="5" t="s">
        <v>17</v>
      </c>
      <c r="B13" s="6" t="s">
        <v>18</v>
      </c>
    </row>
    <row r="14" spans="1:2" ht="45" customHeight="1" x14ac:dyDescent="0.2">
      <c r="A14" s="5" t="s">
        <v>19</v>
      </c>
      <c r="B14" s="6" t="s">
        <v>20</v>
      </c>
    </row>
    <row r="15" spans="1:2" ht="45" customHeight="1" x14ac:dyDescent="0.2">
      <c r="A15" s="5" t="s">
        <v>21</v>
      </c>
      <c r="B15" s="6" t="s">
        <v>22</v>
      </c>
    </row>
    <row r="16" spans="1:2" ht="30" customHeight="1" x14ac:dyDescent="0.2">
      <c r="A16" s="5" t="s">
        <v>23</v>
      </c>
      <c r="B16" s="6" t="s">
        <v>24</v>
      </c>
    </row>
    <row r="17" spans="1:2" ht="30" customHeight="1" x14ac:dyDescent="0.2">
      <c r="A17" s="5" t="s">
        <v>25</v>
      </c>
      <c r="B17" s="6" t="s">
        <v>26</v>
      </c>
    </row>
    <row r="18" spans="1:2" ht="30" customHeight="1" x14ac:dyDescent="0.2">
      <c r="A18" s="5" t="s">
        <v>27</v>
      </c>
      <c r="B18" s="6" t="s">
        <v>28</v>
      </c>
    </row>
    <row r="19" spans="1:2" ht="30" customHeight="1" x14ac:dyDescent="0.2">
      <c r="A19" s="5" t="s">
        <v>29</v>
      </c>
      <c r="B19" s="6" t="s">
        <v>30</v>
      </c>
    </row>
    <row r="20" spans="1:2" ht="45" customHeight="1" x14ac:dyDescent="0.2">
      <c r="A20" s="5" t="s">
        <v>31</v>
      </c>
      <c r="B20" s="6" t="s">
        <v>32</v>
      </c>
    </row>
    <row r="21" spans="1:2" ht="30" customHeight="1" x14ac:dyDescent="0.2">
      <c r="A21" s="5" t="s">
        <v>33</v>
      </c>
      <c r="B21" s="6" t="s">
        <v>34</v>
      </c>
    </row>
  </sheetData>
  <pageMargins left="0.75" right="0.75" top="1" bottom="1" header="0.5" footer="0.5"/>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22"/>
  <sheetViews>
    <sheetView showGridLines="0" workbookViewId="0">
      <pane xSplit="1" ySplit="5" topLeftCell="B6" activePane="bottomRight" state="frozen"/>
      <selection pane="topRight"/>
      <selection pane="bottomLeft"/>
      <selection pane="bottomRight"/>
    </sheetView>
  </sheetViews>
  <sheetFormatPr baseColWidth="10" defaultColWidth="8.83203125" defaultRowHeight="15" x14ac:dyDescent="0.2"/>
  <cols>
    <col min="1" max="1" width="9" customWidth="1"/>
    <col min="2" max="2" width="48" customWidth="1"/>
    <col min="3" max="3" width="26" customWidth="1"/>
    <col min="4" max="4" width="36" customWidth="1"/>
    <col min="5" max="5" width="32" customWidth="1"/>
    <col min="6" max="6" width="58" customWidth="1"/>
    <col min="7" max="7" width="44" customWidth="1"/>
    <col min="8" max="8" width="9" customWidth="1"/>
    <col min="9" max="9" width="26" customWidth="1"/>
    <col min="10" max="10" width="30" customWidth="1"/>
    <col min="11" max="11" width="28" customWidth="1"/>
    <col min="12" max="12" width="40" customWidth="1"/>
    <col min="13" max="13" width="46" customWidth="1"/>
    <col min="14" max="14" width="13" customWidth="1"/>
  </cols>
  <sheetData>
    <row r="1" spans="1:14" ht="19" x14ac:dyDescent="0.25">
      <c r="A1" s="1" t="s">
        <v>35</v>
      </c>
    </row>
    <row r="2" spans="1:14" x14ac:dyDescent="0.2">
      <c r="A2" s="2" t="s">
        <v>36</v>
      </c>
    </row>
    <row r="3" spans="1:14" x14ac:dyDescent="0.2">
      <c r="A3" s="3" t="s">
        <v>37</v>
      </c>
    </row>
    <row r="5" spans="1:14" x14ac:dyDescent="0.2">
      <c r="A5" s="7" t="s">
        <v>38</v>
      </c>
      <c r="B5" s="7" t="s">
        <v>39</v>
      </c>
      <c r="C5" s="7" t="s">
        <v>40</v>
      </c>
      <c r="D5" s="7" t="s">
        <v>41</v>
      </c>
      <c r="E5" s="7" t="s">
        <v>42</v>
      </c>
      <c r="F5" s="7" t="s">
        <v>43</v>
      </c>
      <c r="G5" s="7" t="s">
        <v>44</v>
      </c>
      <c r="H5" s="7" t="s">
        <v>45</v>
      </c>
      <c r="I5" s="7" t="s">
        <v>46</v>
      </c>
      <c r="J5" s="7" t="s">
        <v>47</v>
      </c>
      <c r="K5" s="7" t="s">
        <v>48</v>
      </c>
      <c r="L5" s="7" t="s">
        <v>49</v>
      </c>
      <c r="M5" s="7" t="s">
        <v>50</v>
      </c>
      <c r="N5" s="7" t="s">
        <v>51</v>
      </c>
    </row>
    <row r="6" spans="1:14" ht="45" x14ac:dyDescent="0.2">
      <c r="A6" s="5" t="s">
        <v>52</v>
      </c>
      <c r="B6" s="6" t="s">
        <v>53</v>
      </c>
      <c r="C6" s="6" t="s">
        <v>54</v>
      </c>
      <c r="D6" s="6" t="s">
        <v>55</v>
      </c>
      <c r="E6" s="6" t="s">
        <v>56</v>
      </c>
      <c r="F6" s="6" t="s">
        <v>57</v>
      </c>
      <c r="G6" s="6" t="s">
        <v>58</v>
      </c>
      <c r="H6" s="6" t="s">
        <v>59</v>
      </c>
      <c r="I6" s="6" t="s">
        <v>60</v>
      </c>
      <c r="J6" s="6" t="s">
        <v>61</v>
      </c>
      <c r="K6" s="6" t="s">
        <v>62</v>
      </c>
      <c r="L6" s="6" t="s">
        <v>63</v>
      </c>
      <c r="M6" s="6" t="s">
        <v>64</v>
      </c>
      <c r="N6" s="6" t="s">
        <v>65</v>
      </c>
    </row>
    <row r="7" spans="1:14" ht="45" x14ac:dyDescent="0.2">
      <c r="A7" s="5" t="s">
        <v>66</v>
      </c>
      <c r="B7" s="6" t="s">
        <v>67</v>
      </c>
      <c r="C7" s="6" t="s">
        <v>54</v>
      </c>
      <c r="D7" s="6" t="s">
        <v>68</v>
      </c>
      <c r="E7" s="6" t="s">
        <v>69</v>
      </c>
      <c r="F7" s="6" t="s">
        <v>70</v>
      </c>
      <c r="G7" s="6" t="s">
        <v>58</v>
      </c>
      <c r="H7" s="6" t="s">
        <v>59</v>
      </c>
      <c r="I7" s="6" t="s">
        <v>60</v>
      </c>
      <c r="J7" s="6" t="s">
        <v>61</v>
      </c>
      <c r="K7" s="6" t="s">
        <v>62</v>
      </c>
      <c r="L7" s="6" t="s">
        <v>63</v>
      </c>
      <c r="M7" s="6" t="s">
        <v>64</v>
      </c>
      <c r="N7" s="6" t="s">
        <v>65</v>
      </c>
    </row>
    <row r="8" spans="1:14" ht="45" x14ac:dyDescent="0.2">
      <c r="A8" s="5" t="s">
        <v>71</v>
      </c>
      <c r="B8" s="6" t="s">
        <v>72</v>
      </c>
      <c r="C8" s="6" t="s">
        <v>54</v>
      </c>
      <c r="D8" s="6" t="s">
        <v>73</v>
      </c>
      <c r="E8" s="6" t="s">
        <v>74</v>
      </c>
      <c r="F8" s="6" t="s">
        <v>75</v>
      </c>
      <c r="G8" s="6" t="s">
        <v>58</v>
      </c>
      <c r="H8" s="6" t="s">
        <v>59</v>
      </c>
      <c r="I8" s="6" t="s">
        <v>60</v>
      </c>
      <c r="J8" s="6" t="s">
        <v>61</v>
      </c>
      <c r="K8" s="6" t="s">
        <v>62</v>
      </c>
      <c r="L8" s="6" t="s">
        <v>63</v>
      </c>
      <c r="M8" s="6" t="s">
        <v>64</v>
      </c>
      <c r="N8" s="6" t="s">
        <v>65</v>
      </c>
    </row>
    <row r="9" spans="1:14" ht="45" x14ac:dyDescent="0.2">
      <c r="A9" s="5" t="s">
        <v>76</v>
      </c>
      <c r="B9" s="6" t="s">
        <v>77</v>
      </c>
      <c r="C9" s="6" t="s">
        <v>54</v>
      </c>
      <c r="D9" s="6" t="s">
        <v>78</v>
      </c>
      <c r="E9" s="6" t="s">
        <v>79</v>
      </c>
      <c r="F9" s="6" t="s">
        <v>80</v>
      </c>
      <c r="G9" s="6" t="s">
        <v>58</v>
      </c>
      <c r="H9" s="6" t="s">
        <v>59</v>
      </c>
      <c r="I9" s="6" t="s">
        <v>60</v>
      </c>
      <c r="J9" s="6" t="s">
        <v>61</v>
      </c>
      <c r="K9" s="6" t="s">
        <v>62</v>
      </c>
      <c r="L9" s="6" t="s">
        <v>63</v>
      </c>
      <c r="M9" s="6" t="s">
        <v>64</v>
      </c>
      <c r="N9" s="6" t="s">
        <v>65</v>
      </c>
    </row>
    <row r="10" spans="1:14" ht="45" x14ac:dyDescent="0.2">
      <c r="A10" s="5" t="s">
        <v>81</v>
      </c>
      <c r="B10" s="6" t="s">
        <v>82</v>
      </c>
      <c r="C10" s="6" t="s">
        <v>54</v>
      </c>
      <c r="D10" s="6" t="s">
        <v>83</v>
      </c>
      <c r="E10" s="6" t="s">
        <v>84</v>
      </c>
      <c r="F10" s="6" t="s">
        <v>85</v>
      </c>
      <c r="G10" s="6" t="s">
        <v>58</v>
      </c>
      <c r="H10" s="6" t="s">
        <v>59</v>
      </c>
      <c r="I10" s="6" t="s">
        <v>60</v>
      </c>
      <c r="J10" s="6" t="s">
        <v>61</v>
      </c>
      <c r="K10" s="6" t="s">
        <v>62</v>
      </c>
      <c r="L10" s="6" t="s">
        <v>63</v>
      </c>
      <c r="M10" s="6" t="s">
        <v>64</v>
      </c>
      <c r="N10" s="6" t="s">
        <v>65</v>
      </c>
    </row>
    <row r="11" spans="1:14" ht="45" x14ac:dyDescent="0.2">
      <c r="A11" s="5" t="s">
        <v>86</v>
      </c>
      <c r="B11" s="6" t="s">
        <v>87</v>
      </c>
      <c r="C11" s="6" t="s">
        <v>54</v>
      </c>
      <c r="D11" s="6" t="s">
        <v>88</v>
      </c>
      <c r="E11" s="6" t="s">
        <v>89</v>
      </c>
      <c r="F11" s="6" t="s">
        <v>90</v>
      </c>
      <c r="G11" s="6" t="s">
        <v>58</v>
      </c>
      <c r="H11" s="6" t="s">
        <v>59</v>
      </c>
      <c r="I11" s="6" t="s">
        <v>60</v>
      </c>
      <c r="J11" s="6" t="s">
        <v>61</v>
      </c>
      <c r="K11" s="6" t="s">
        <v>62</v>
      </c>
      <c r="L11" s="6" t="s">
        <v>63</v>
      </c>
      <c r="M11" s="6" t="s">
        <v>64</v>
      </c>
      <c r="N11" s="6" t="s">
        <v>65</v>
      </c>
    </row>
    <row r="12" spans="1:14" ht="45" x14ac:dyDescent="0.2">
      <c r="A12" s="5" t="s">
        <v>91</v>
      </c>
      <c r="B12" s="6" t="s">
        <v>92</v>
      </c>
      <c r="C12" s="6" t="s">
        <v>54</v>
      </c>
      <c r="D12" s="6" t="s">
        <v>93</v>
      </c>
      <c r="E12" s="6" t="s">
        <v>94</v>
      </c>
      <c r="F12" s="6" t="s">
        <v>95</v>
      </c>
      <c r="G12" s="6" t="s">
        <v>58</v>
      </c>
      <c r="H12" s="6" t="s">
        <v>59</v>
      </c>
      <c r="I12" s="6" t="s">
        <v>60</v>
      </c>
      <c r="J12" s="6" t="s">
        <v>61</v>
      </c>
      <c r="K12" s="6" t="s">
        <v>62</v>
      </c>
      <c r="L12" s="6" t="s">
        <v>63</v>
      </c>
      <c r="M12" s="6" t="s">
        <v>64</v>
      </c>
      <c r="N12" s="6" t="s">
        <v>65</v>
      </c>
    </row>
    <row r="13" spans="1:14" ht="45" x14ac:dyDescent="0.2">
      <c r="A13" s="5" t="s">
        <v>96</v>
      </c>
      <c r="B13" s="6" t="s">
        <v>97</v>
      </c>
      <c r="C13" s="6" t="s">
        <v>54</v>
      </c>
      <c r="D13" s="6" t="s">
        <v>98</v>
      </c>
      <c r="E13" s="6" t="s">
        <v>99</v>
      </c>
      <c r="F13" s="6" t="s">
        <v>100</v>
      </c>
      <c r="G13" s="6" t="s">
        <v>101</v>
      </c>
      <c r="H13" s="6" t="s">
        <v>59</v>
      </c>
      <c r="I13" s="6" t="s">
        <v>60</v>
      </c>
      <c r="J13" s="6" t="s">
        <v>61</v>
      </c>
      <c r="K13" s="6" t="s">
        <v>62</v>
      </c>
      <c r="L13" s="6" t="s">
        <v>63</v>
      </c>
      <c r="M13" s="6" t="s">
        <v>102</v>
      </c>
      <c r="N13" s="6" t="s">
        <v>65</v>
      </c>
    </row>
    <row r="14" spans="1:14" ht="45" x14ac:dyDescent="0.2">
      <c r="A14" s="5" t="s">
        <v>103</v>
      </c>
      <c r="B14" s="6" t="s">
        <v>104</v>
      </c>
      <c r="C14" s="6" t="s">
        <v>54</v>
      </c>
      <c r="D14" s="6" t="s">
        <v>105</v>
      </c>
      <c r="E14" s="6" t="s">
        <v>106</v>
      </c>
      <c r="F14" s="6" t="s">
        <v>107</v>
      </c>
      <c r="G14" s="6" t="s">
        <v>58</v>
      </c>
      <c r="H14" s="6" t="s">
        <v>59</v>
      </c>
      <c r="I14" s="6" t="s">
        <v>60</v>
      </c>
      <c r="J14" s="6" t="s">
        <v>61</v>
      </c>
      <c r="K14" s="6" t="s">
        <v>62</v>
      </c>
      <c r="L14" s="6" t="s">
        <v>63</v>
      </c>
      <c r="M14" s="6" t="s">
        <v>64</v>
      </c>
      <c r="N14" s="6" t="s">
        <v>65</v>
      </c>
    </row>
    <row r="15" spans="1:14" ht="45" x14ac:dyDescent="0.2">
      <c r="A15" s="5" t="s">
        <v>108</v>
      </c>
      <c r="B15" s="6" t="s">
        <v>109</v>
      </c>
      <c r="C15" s="6" t="s">
        <v>54</v>
      </c>
      <c r="D15" s="6" t="s">
        <v>110</v>
      </c>
      <c r="E15" s="6" t="s">
        <v>111</v>
      </c>
      <c r="F15" s="6" t="s">
        <v>112</v>
      </c>
      <c r="G15" s="6" t="s">
        <v>58</v>
      </c>
      <c r="H15" s="6" t="s">
        <v>59</v>
      </c>
      <c r="I15" s="6" t="s">
        <v>60</v>
      </c>
      <c r="J15" s="6" t="s">
        <v>61</v>
      </c>
      <c r="K15" s="6" t="s">
        <v>62</v>
      </c>
      <c r="L15" s="6" t="s">
        <v>63</v>
      </c>
      <c r="M15" s="6" t="s">
        <v>64</v>
      </c>
      <c r="N15" s="6" t="s">
        <v>65</v>
      </c>
    </row>
    <row r="16" spans="1:14" ht="45" x14ac:dyDescent="0.2">
      <c r="A16" s="5" t="s">
        <v>113</v>
      </c>
      <c r="B16" s="6" t="s">
        <v>114</v>
      </c>
      <c r="C16" s="6" t="s">
        <v>54</v>
      </c>
      <c r="D16" s="6" t="s">
        <v>115</v>
      </c>
      <c r="E16" s="6" t="s">
        <v>116</v>
      </c>
      <c r="F16" s="6" t="s">
        <v>117</v>
      </c>
      <c r="G16" s="6" t="s">
        <v>58</v>
      </c>
      <c r="H16" s="6" t="s">
        <v>59</v>
      </c>
      <c r="I16" s="6" t="s">
        <v>60</v>
      </c>
      <c r="J16" s="6" t="s">
        <v>61</v>
      </c>
      <c r="K16" s="6" t="s">
        <v>62</v>
      </c>
      <c r="L16" s="6" t="s">
        <v>63</v>
      </c>
      <c r="M16" s="6" t="s">
        <v>64</v>
      </c>
      <c r="N16" s="6" t="s">
        <v>65</v>
      </c>
    </row>
    <row r="17" spans="1:14" ht="45" x14ac:dyDescent="0.2">
      <c r="A17" s="5" t="s">
        <v>118</v>
      </c>
      <c r="B17" s="6" t="s">
        <v>119</v>
      </c>
      <c r="C17" s="6" t="s">
        <v>54</v>
      </c>
      <c r="D17" s="6" t="s">
        <v>120</v>
      </c>
      <c r="E17" s="6" t="s">
        <v>121</v>
      </c>
      <c r="F17" s="6" t="s">
        <v>122</v>
      </c>
      <c r="G17" s="6" t="s">
        <v>101</v>
      </c>
      <c r="H17" s="6" t="s">
        <v>59</v>
      </c>
      <c r="I17" s="6" t="s">
        <v>60</v>
      </c>
      <c r="J17" s="6" t="s">
        <v>61</v>
      </c>
      <c r="K17" s="6" t="s">
        <v>62</v>
      </c>
      <c r="L17" s="6" t="s">
        <v>63</v>
      </c>
      <c r="M17" s="6" t="s">
        <v>123</v>
      </c>
      <c r="N17" s="6" t="s">
        <v>65</v>
      </c>
    </row>
    <row r="18" spans="1:14" ht="30" x14ac:dyDescent="0.2">
      <c r="A18" s="5" t="s">
        <v>124</v>
      </c>
      <c r="B18" s="6" t="s">
        <v>125</v>
      </c>
      <c r="C18" s="6" t="s">
        <v>54</v>
      </c>
      <c r="D18" s="6" t="s">
        <v>126</v>
      </c>
      <c r="E18" s="6" t="s">
        <v>127</v>
      </c>
      <c r="F18" s="6" t="s">
        <v>128</v>
      </c>
      <c r="G18" s="6" t="s">
        <v>129</v>
      </c>
      <c r="H18" s="6" t="s">
        <v>59</v>
      </c>
      <c r="I18" s="6" t="s">
        <v>130</v>
      </c>
      <c r="J18" s="6" t="s">
        <v>131</v>
      </c>
      <c r="K18" s="6" t="s">
        <v>132</v>
      </c>
      <c r="L18" s="6" t="s">
        <v>133</v>
      </c>
      <c r="M18" s="6" t="s">
        <v>134</v>
      </c>
      <c r="N18" s="6" t="s">
        <v>65</v>
      </c>
    </row>
    <row r="19" spans="1:14" ht="45" x14ac:dyDescent="0.2">
      <c r="A19" s="5" t="s">
        <v>135</v>
      </c>
      <c r="B19" s="6" t="s">
        <v>136</v>
      </c>
      <c r="C19" s="6" t="s">
        <v>137</v>
      </c>
      <c r="D19" s="6" t="s">
        <v>138</v>
      </c>
      <c r="E19" s="6" t="s">
        <v>139</v>
      </c>
      <c r="F19" s="6" t="s">
        <v>140</v>
      </c>
      <c r="G19" s="6" t="s">
        <v>141</v>
      </c>
      <c r="H19" s="6" t="s">
        <v>59</v>
      </c>
      <c r="I19" s="6" t="s">
        <v>142</v>
      </c>
      <c r="J19" s="6" t="s">
        <v>143</v>
      </c>
      <c r="K19" s="6" t="s">
        <v>144</v>
      </c>
      <c r="L19" s="6" t="s">
        <v>145</v>
      </c>
      <c r="M19" s="6" t="s">
        <v>146</v>
      </c>
      <c r="N19" s="6" t="s">
        <v>65</v>
      </c>
    </row>
    <row r="20" spans="1:14" ht="30" x14ac:dyDescent="0.2">
      <c r="A20" s="5" t="s">
        <v>147</v>
      </c>
      <c r="B20" s="6" t="s">
        <v>148</v>
      </c>
      <c r="C20" s="6" t="s">
        <v>149</v>
      </c>
      <c r="D20" s="6" t="s">
        <v>150</v>
      </c>
      <c r="E20" s="6" t="s">
        <v>121</v>
      </c>
      <c r="F20" s="6" t="s">
        <v>151</v>
      </c>
      <c r="G20" s="6" t="s">
        <v>152</v>
      </c>
      <c r="H20" s="6" t="s">
        <v>59</v>
      </c>
      <c r="I20" s="6" t="s">
        <v>153</v>
      </c>
      <c r="J20" s="6" t="s">
        <v>154</v>
      </c>
      <c r="K20" s="6" t="s">
        <v>132</v>
      </c>
      <c r="L20" s="6" t="s">
        <v>155</v>
      </c>
      <c r="M20" s="6" t="s">
        <v>156</v>
      </c>
      <c r="N20" s="6" t="s">
        <v>65</v>
      </c>
    </row>
    <row r="21" spans="1:14" ht="30" x14ac:dyDescent="0.2">
      <c r="A21" s="5" t="s">
        <v>157</v>
      </c>
      <c r="B21" s="6" t="s">
        <v>158</v>
      </c>
      <c r="C21" s="6" t="s">
        <v>54</v>
      </c>
      <c r="D21" s="6" t="s">
        <v>159</v>
      </c>
      <c r="E21" s="6" t="s">
        <v>160</v>
      </c>
      <c r="F21" s="6" t="s">
        <v>161</v>
      </c>
      <c r="G21" s="6" t="s">
        <v>162</v>
      </c>
      <c r="H21" s="6" t="s">
        <v>59</v>
      </c>
      <c r="I21" s="6" t="s">
        <v>130</v>
      </c>
      <c r="J21" s="6" t="s">
        <v>163</v>
      </c>
      <c r="K21" s="6" t="s">
        <v>164</v>
      </c>
      <c r="L21" s="6" t="s">
        <v>165</v>
      </c>
      <c r="M21" s="6" t="s">
        <v>166</v>
      </c>
      <c r="N21" s="6" t="s">
        <v>65</v>
      </c>
    </row>
    <row r="22" spans="1:14" ht="30" x14ac:dyDescent="0.2">
      <c r="A22" s="5" t="s">
        <v>167</v>
      </c>
      <c r="B22" s="6" t="s">
        <v>168</v>
      </c>
      <c r="C22" s="6" t="s">
        <v>54</v>
      </c>
      <c r="D22" s="6" t="s">
        <v>169</v>
      </c>
      <c r="E22" s="6" t="s">
        <v>170</v>
      </c>
      <c r="F22" s="6" t="s">
        <v>171</v>
      </c>
      <c r="G22" s="6" t="s">
        <v>172</v>
      </c>
      <c r="H22" s="6" t="s">
        <v>59</v>
      </c>
      <c r="I22" s="6" t="s">
        <v>173</v>
      </c>
      <c r="J22" s="6" t="s">
        <v>174</v>
      </c>
      <c r="K22" s="6" t="s">
        <v>175</v>
      </c>
      <c r="L22" s="6" t="s">
        <v>176</v>
      </c>
      <c r="M22" s="6" t="s">
        <v>177</v>
      </c>
      <c r="N22" s="6" t="s">
        <v>65</v>
      </c>
    </row>
  </sheetData>
  <pageMargins left="0.75" right="0.75" top="1" bottom="1" header="0.5" footer="0.5"/>
  <pageSetup fitToHeight="0" orientation="landscape"/>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37"/>
  <sheetViews>
    <sheetView showGridLines="0" workbookViewId="0">
      <pane xSplit="4" ySplit="6" topLeftCell="E7" activePane="bottomRight" state="frozen"/>
      <selection pane="topRight"/>
      <selection pane="bottomLeft"/>
      <selection pane="bottomRight"/>
    </sheetView>
  </sheetViews>
  <sheetFormatPr baseColWidth="10" defaultColWidth="8.83203125" defaultRowHeight="15" x14ac:dyDescent="0.2"/>
  <cols>
    <col min="1" max="1" width="20" customWidth="1"/>
    <col min="2" max="2" width="70" customWidth="1"/>
    <col min="3" max="3" width="9" customWidth="1"/>
    <col min="4" max="4" width="20" customWidth="1"/>
    <col min="5" max="16" width="11" customWidth="1"/>
    <col min="17" max="17" width="40" customWidth="1"/>
  </cols>
  <sheetData>
    <row r="1" spans="1:17" ht="19" x14ac:dyDescent="0.25">
      <c r="A1" s="1" t="s">
        <v>178</v>
      </c>
    </row>
    <row r="2" spans="1:17" x14ac:dyDescent="0.2">
      <c r="A2" s="2" t="s">
        <v>179</v>
      </c>
    </row>
    <row r="3" spans="1:17" x14ac:dyDescent="0.2">
      <c r="A3" s="3" t="s">
        <v>180</v>
      </c>
    </row>
    <row r="5" spans="1:17" x14ac:dyDescent="0.2">
      <c r="A5" s="4" t="s">
        <v>181</v>
      </c>
    </row>
    <row r="6" spans="1:17" x14ac:dyDescent="0.2">
      <c r="A6" s="7" t="s">
        <v>182</v>
      </c>
      <c r="B6" s="7" t="s">
        <v>183</v>
      </c>
      <c r="C6" s="7" t="s">
        <v>46</v>
      </c>
      <c r="D6" s="7" t="s">
        <v>184</v>
      </c>
      <c r="E6" s="7" t="s">
        <v>185</v>
      </c>
      <c r="F6" s="7" t="s">
        <v>186</v>
      </c>
      <c r="G6" s="7" t="s">
        <v>187</v>
      </c>
      <c r="H6" s="7" t="s">
        <v>188</v>
      </c>
      <c r="I6" s="7" t="s">
        <v>189</v>
      </c>
      <c r="J6" s="7" t="s">
        <v>190</v>
      </c>
      <c r="K6" s="7" t="s">
        <v>191</v>
      </c>
      <c r="L6" s="7" t="s">
        <v>192</v>
      </c>
      <c r="M6" s="7" t="s">
        <v>193</v>
      </c>
      <c r="N6" s="7" t="s">
        <v>194</v>
      </c>
      <c r="O6" s="7" t="s">
        <v>195</v>
      </c>
      <c r="P6" s="7" t="s">
        <v>196</v>
      </c>
      <c r="Q6" s="7" t="s">
        <v>197</v>
      </c>
    </row>
    <row r="7" spans="1:17" x14ac:dyDescent="0.2">
      <c r="A7" s="4" t="s">
        <v>198</v>
      </c>
      <c r="B7" s="8" t="s">
        <v>199</v>
      </c>
      <c r="C7" s="8" t="s">
        <v>200</v>
      </c>
      <c r="D7" s="8" t="s">
        <v>201</v>
      </c>
      <c r="E7" s="9">
        <v>15535</v>
      </c>
      <c r="F7" s="9">
        <v>18941</v>
      </c>
      <c r="G7" s="9">
        <v>17080</v>
      </c>
      <c r="H7" s="9">
        <v>13217</v>
      </c>
      <c r="I7" s="9">
        <v>15272</v>
      </c>
      <c r="J7" s="9">
        <v>16219</v>
      </c>
      <c r="K7" s="9">
        <v>15319</v>
      </c>
      <c r="L7" s="9">
        <v>17136</v>
      </c>
      <c r="M7" s="9">
        <v>15922</v>
      </c>
      <c r="N7" s="9">
        <v>16451</v>
      </c>
      <c r="O7" s="9">
        <v>15089</v>
      </c>
      <c r="P7" s="9">
        <v>17234</v>
      </c>
      <c r="Q7" s="8" t="s">
        <v>202</v>
      </c>
    </row>
    <row r="8" spans="1:17" x14ac:dyDescent="0.2">
      <c r="A8" s="4" t="s">
        <v>203</v>
      </c>
      <c r="B8" s="8" t="s">
        <v>204</v>
      </c>
      <c r="C8" s="8" t="s">
        <v>200</v>
      </c>
      <c r="D8" s="8" t="s">
        <v>201</v>
      </c>
      <c r="E8" s="9">
        <v>40982</v>
      </c>
      <c r="F8" s="9">
        <v>43079</v>
      </c>
      <c r="G8" s="9">
        <v>44778</v>
      </c>
      <c r="H8" s="9">
        <v>51510</v>
      </c>
      <c r="I8" s="9">
        <v>50313</v>
      </c>
      <c r="J8" s="9">
        <v>53413</v>
      </c>
      <c r="K8" s="9">
        <v>54747</v>
      </c>
      <c r="L8" s="9">
        <v>59305</v>
      </c>
      <c r="M8" s="9">
        <v>61751</v>
      </c>
      <c r="N8" s="9">
        <v>64822</v>
      </c>
      <c r="O8" s="9">
        <v>67797</v>
      </c>
      <c r="P8" s="9">
        <v>72773</v>
      </c>
      <c r="Q8" s="8" t="s">
        <v>205</v>
      </c>
    </row>
    <row r="9" spans="1:17" x14ac:dyDescent="0.2">
      <c r="A9" s="4" t="s">
        <v>206</v>
      </c>
      <c r="B9" s="8" t="s">
        <v>207</v>
      </c>
      <c r="C9" s="8" t="s">
        <v>200</v>
      </c>
      <c r="D9" s="8" t="s">
        <v>201</v>
      </c>
      <c r="E9" s="9">
        <v>56517</v>
      </c>
      <c r="F9" s="9">
        <v>62020</v>
      </c>
      <c r="G9" s="9">
        <v>61858</v>
      </c>
      <c r="H9" s="9">
        <v>64727</v>
      </c>
      <c r="I9" s="9">
        <v>65585</v>
      </c>
      <c r="J9" s="9">
        <v>69632</v>
      </c>
      <c r="K9" s="9">
        <v>70066</v>
      </c>
      <c r="L9" s="9">
        <v>76441</v>
      </c>
      <c r="M9" s="9">
        <v>77673</v>
      </c>
      <c r="N9" s="9">
        <v>81273</v>
      </c>
      <c r="O9" s="9">
        <v>82886</v>
      </c>
      <c r="P9" s="9">
        <v>90007</v>
      </c>
      <c r="Q9" s="8" t="s">
        <v>205</v>
      </c>
    </row>
    <row r="10" spans="1:17" x14ac:dyDescent="0.2">
      <c r="A10" s="4" t="s">
        <v>208</v>
      </c>
      <c r="B10" s="8" t="s">
        <v>209</v>
      </c>
      <c r="C10" s="8" t="s">
        <v>200</v>
      </c>
      <c r="D10" s="8" t="s">
        <v>201</v>
      </c>
      <c r="E10" s="9">
        <v>16302</v>
      </c>
      <c r="F10" s="9">
        <v>19623</v>
      </c>
      <c r="G10" s="9">
        <v>18505</v>
      </c>
      <c r="H10" s="9">
        <v>19684</v>
      </c>
      <c r="I10" s="9">
        <v>20099</v>
      </c>
      <c r="J10" s="9">
        <v>21799</v>
      </c>
      <c r="K10" s="9">
        <v>21919</v>
      </c>
      <c r="L10" s="9">
        <v>24014</v>
      </c>
      <c r="M10" s="9">
        <v>24043</v>
      </c>
      <c r="N10" s="9">
        <v>25978</v>
      </c>
      <c r="O10" s="9">
        <v>26828</v>
      </c>
      <c r="P10" s="9">
        <v>29525</v>
      </c>
      <c r="Q10" s="8" t="s">
        <v>205</v>
      </c>
    </row>
    <row r="11" spans="1:17" x14ac:dyDescent="0.2">
      <c r="A11" s="4" t="s">
        <v>210</v>
      </c>
      <c r="B11" s="8" t="s">
        <v>211</v>
      </c>
      <c r="C11" s="8" t="s">
        <v>200</v>
      </c>
      <c r="D11" s="8" t="s">
        <v>201</v>
      </c>
      <c r="E11" s="9">
        <v>40215</v>
      </c>
      <c r="F11" s="9">
        <v>42397</v>
      </c>
      <c r="G11" s="9">
        <v>43353</v>
      </c>
      <c r="H11" s="9">
        <v>45043</v>
      </c>
      <c r="I11" s="9">
        <v>45486</v>
      </c>
      <c r="J11" s="9">
        <v>47833</v>
      </c>
      <c r="K11" s="9">
        <v>48147</v>
      </c>
      <c r="L11" s="9">
        <v>52427</v>
      </c>
      <c r="M11" s="9">
        <v>53630</v>
      </c>
      <c r="N11" s="9">
        <v>55295</v>
      </c>
      <c r="O11" s="9">
        <v>56058</v>
      </c>
      <c r="P11" s="9">
        <v>60482</v>
      </c>
      <c r="Q11" s="8" t="s">
        <v>205</v>
      </c>
    </row>
    <row r="12" spans="1:17" x14ac:dyDescent="0.2">
      <c r="A12" s="4" t="s">
        <v>212</v>
      </c>
      <c r="B12" s="8" t="s">
        <v>213</v>
      </c>
      <c r="C12" s="8" t="s">
        <v>200</v>
      </c>
      <c r="D12" s="8" t="s">
        <v>201</v>
      </c>
      <c r="E12" s="9">
        <v>6659</v>
      </c>
      <c r="F12" s="9">
        <v>7142</v>
      </c>
      <c r="G12" s="9">
        <v>7653</v>
      </c>
      <c r="H12" s="9">
        <v>8056</v>
      </c>
      <c r="I12" s="9">
        <v>7544</v>
      </c>
      <c r="J12" s="9">
        <v>7917</v>
      </c>
      <c r="K12" s="9">
        <v>8198</v>
      </c>
      <c r="L12" s="9">
        <v>8829</v>
      </c>
      <c r="M12" s="9">
        <v>8146</v>
      </c>
      <c r="N12" s="9">
        <v>8504</v>
      </c>
      <c r="O12" s="9">
        <v>8915</v>
      </c>
      <c r="P12" s="9">
        <v>9997</v>
      </c>
      <c r="Q12" s="8" t="s">
        <v>205</v>
      </c>
    </row>
    <row r="13" spans="1:17" x14ac:dyDescent="0.2">
      <c r="A13" s="4" t="s">
        <v>214</v>
      </c>
      <c r="B13" s="8" t="s">
        <v>215</v>
      </c>
      <c r="C13" s="8" t="s">
        <v>200</v>
      </c>
      <c r="D13" s="8" t="s">
        <v>201</v>
      </c>
      <c r="E13" s="9">
        <v>5187</v>
      </c>
      <c r="F13" s="9">
        <v>6246</v>
      </c>
      <c r="G13" s="9">
        <v>6207</v>
      </c>
      <c r="H13" s="9">
        <v>6816</v>
      </c>
      <c r="I13" s="9">
        <v>5717</v>
      </c>
      <c r="J13" s="9">
        <v>6440</v>
      </c>
      <c r="K13" s="9">
        <v>6212</v>
      </c>
      <c r="L13" s="9">
        <v>7285</v>
      </c>
      <c r="M13" s="9">
        <v>5717</v>
      </c>
      <c r="N13" s="9">
        <v>6584</v>
      </c>
      <c r="O13" s="9">
        <v>6814</v>
      </c>
      <c r="P13" s="9">
        <v>7595</v>
      </c>
      <c r="Q13" s="8" t="s">
        <v>205</v>
      </c>
    </row>
    <row r="14" spans="1:17" x14ac:dyDescent="0.2">
      <c r="A14" s="4" t="s">
        <v>216</v>
      </c>
      <c r="B14" s="8" t="s">
        <v>217</v>
      </c>
      <c r="C14" s="8" t="s">
        <v>200</v>
      </c>
      <c r="D14" s="8" t="s">
        <v>201</v>
      </c>
      <c r="E14" s="9">
        <v>1474</v>
      </c>
      <c r="F14" s="9">
        <v>1977</v>
      </c>
      <c r="G14" s="9">
        <v>1912</v>
      </c>
      <c r="H14" s="9">
        <v>2246</v>
      </c>
      <c r="I14" s="9">
        <v>1673</v>
      </c>
      <c r="J14" s="9">
        <v>1823</v>
      </c>
      <c r="K14" s="9">
        <v>1737</v>
      </c>
      <c r="L14" s="9">
        <v>1990</v>
      </c>
      <c r="M14" s="9">
        <v>1806</v>
      </c>
      <c r="N14" s="9">
        <v>1932</v>
      </c>
      <c r="O14" s="9">
        <v>1931</v>
      </c>
      <c r="P14" s="9">
        <v>2287</v>
      </c>
      <c r="Q14" s="8" t="s">
        <v>205</v>
      </c>
    </row>
    <row r="15" spans="1:17" x14ac:dyDescent="0.2">
      <c r="A15" s="4" t="s">
        <v>218</v>
      </c>
      <c r="B15" s="8" t="s">
        <v>219</v>
      </c>
      <c r="C15" s="8" t="s">
        <v>200</v>
      </c>
      <c r="D15" s="8" t="s">
        <v>201</v>
      </c>
      <c r="E15" s="9">
        <v>26895</v>
      </c>
      <c r="F15" s="9">
        <v>27032</v>
      </c>
      <c r="G15" s="9">
        <v>27581</v>
      </c>
      <c r="H15" s="9">
        <v>27925</v>
      </c>
      <c r="I15" s="9">
        <v>30552</v>
      </c>
      <c r="J15" s="9">
        <v>31653</v>
      </c>
      <c r="K15" s="9">
        <v>32000</v>
      </c>
      <c r="L15" s="9">
        <v>34323</v>
      </c>
      <c r="M15" s="9">
        <v>37961</v>
      </c>
      <c r="N15" s="9">
        <v>38275</v>
      </c>
      <c r="O15" s="9">
        <v>38398</v>
      </c>
      <c r="P15" s="9">
        <v>40603</v>
      </c>
      <c r="Q15" s="8" t="s">
        <v>205</v>
      </c>
    </row>
    <row r="16" spans="1:17" x14ac:dyDescent="0.2">
      <c r="A16" s="4" t="s">
        <v>220</v>
      </c>
      <c r="B16" s="8" t="s">
        <v>221</v>
      </c>
      <c r="C16" s="8" t="s">
        <v>200</v>
      </c>
      <c r="D16" s="8" t="s">
        <v>201</v>
      </c>
      <c r="E16" s="9">
        <v>389</v>
      </c>
      <c r="F16" s="9">
        <v>-506</v>
      </c>
      <c r="G16" s="9">
        <v>-854</v>
      </c>
      <c r="H16" s="9">
        <v>-675</v>
      </c>
      <c r="I16" s="9">
        <v>-283</v>
      </c>
      <c r="J16" s="9">
        <v>-2288</v>
      </c>
      <c r="K16" s="9">
        <v>-623</v>
      </c>
      <c r="L16" s="9">
        <v>-1707</v>
      </c>
      <c r="M16" s="9">
        <v>-3660</v>
      </c>
      <c r="N16" s="9">
        <v>9971</v>
      </c>
      <c r="O16" s="9">
        <v>942</v>
      </c>
      <c r="P16" s="9">
        <v>3444</v>
      </c>
      <c r="Q16" s="8" t="s">
        <v>205</v>
      </c>
    </row>
    <row r="17" spans="1:17" x14ac:dyDescent="0.2">
      <c r="A17" s="4" t="s">
        <v>222</v>
      </c>
      <c r="B17" s="8" t="s">
        <v>223</v>
      </c>
      <c r="C17" s="8" t="s">
        <v>200</v>
      </c>
      <c r="D17" s="8" t="s">
        <v>201</v>
      </c>
      <c r="E17" s="9">
        <v>27284</v>
      </c>
      <c r="F17" s="9">
        <v>26526</v>
      </c>
      <c r="G17" s="9">
        <v>26727</v>
      </c>
      <c r="H17" s="9">
        <v>27250</v>
      </c>
      <c r="I17" s="9">
        <v>30269</v>
      </c>
      <c r="J17" s="9">
        <v>29365</v>
      </c>
      <c r="K17" s="9">
        <v>31377</v>
      </c>
      <c r="L17" s="9">
        <v>32616</v>
      </c>
      <c r="M17" s="9">
        <v>34301</v>
      </c>
      <c r="N17" s="9">
        <v>48246</v>
      </c>
      <c r="O17" s="9">
        <v>39340</v>
      </c>
      <c r="P17" s="9">
        <v>44047</v>
      </c>
      <c r="Q17" s="8" t="s">
        <v>205</v>
      </c>
    </row>
    <row r="18" spans="1:17" x14ac:dyDescent="0.2">
      <c r="A18" s="4" t="s">
        <v>224</v>
      </c>
      <c r="B18" s="8" t="s">
        <v>225</v>
      </c>
      <c r="C18" s="8" t="s">
        <v>200</v>
      </c>
      <c r="D18" s="8" t="s">
        <v>201</v>
      </c>
      <c r="E18" s="9">
        <v>4993</v>
      </c>
      <c r="F18" s="9">
        <v>4656</v>
      </c>
      <c r="G18" s="9">
        <v>4788</v>
      </c>
      <c r="H18" s="9">
        <v>5214</v>
      </c>
      <c r="I18" s="9">
        <v>5602</v>
      </c>
      <c r="J18" s="9">
        <v>5257</v>
      </c>
      <c r="K18" s="9">
        <v>5553</v>
      </c>
      <c r="L18" s="9">
        <v>5383</v>
      </c>
      <c r="M18" s="9">
        <v>6554</v>
      </c>
      <c r="N18" s="9">
        <v>9788</v>
      </c>
      <c r="O18" s="9">
        <v>7562</v>
      </c>
      <c r="P18" s="9">
        <v>8281</v>
      </c>
      <c r="Q18" s="8" t="s">
        <v>205</v>
      </c>
    </row>
    <row r="19" spans="1:17" x14ac:dyDescent="0.2">
      <c r="A19" s="4" t="s">
        <v>226</v>
      </c>
      <c r="B19" s="8" t="s">
        <v>227</v>
      </c>
      <c r="C19" s="8" t="s">
        <v>200</v>
      </c>
      <c r="D19" s="8" t="s">
        <v>201</v>
      </c>
      <c r="E19" s="9">
        <v>22291</v>
      </c>
      <c r="F19" s="9">
        <v>21870</v>
      </c>
      <c r="G19" s="9">
        <v>21939</v>
      </c>
      <c r="H19" s="9">
        <v>22036</v>
      </c>
      <c r="I19" s="9">
        <v>24667</v>
      </c>
      <c r="J19" s="9">
        <v>24108</v>
      </c>
      <c r="K19" s="9">
        <v>25824</v>
      </c>
      <c r="L19" s="9">
        <v>27233</v>
      </c>
      <c r="M19" s="9">
        <v>27747</v>
      </c>
      <c r="N19" s="9">
        <v>38458</v>
      </c>
      <c r="O19" s="9">
        <v>31778</v>
      </c>
      <c r="P19" s="9">
        <v>35766</v>
      </c>
      <c r="Q19" s="8" t="s">
        <v>205</v>
      </c>
    </row>
    <row r="20" spans="1:17" x14ac:dyDescent="0.2">
      <c r="A20" s="4" t="s">
        <v>228</v>
      </c>
      <c r="B20" s="8" t="s">
        <v>229</v>
      </c>
      <c r="C20" s="8" t="s">
        <v>59</v>
      </c>
      <c r="D20" s="8" t="s">
        <v>201</v>
      </c>
      <c r="E20" s="10">
        <v>2.99</v>
      </c>
      <c r="F20" s="10">
        <v>2.93</v>
      </c>
      <c r="G20" s="10">
        <v>2.94</v>
      </c>
      <c r="H20" s="10">
        <v>2.95</v>
      </c>
      <c r="I20" s="10">
        <v>3.3</v>
      </c>
      <c r="J20" s="10">
        <v>3.23</v>
      </c>
      <c r="K20" s="10">
        <v>3.46</v>
      </c>
      <c r="L20" s="10">
        <v>3.65</v>
      </c>
      <c r="M20" s="10">
        <v>3.72</v>
      </c>
      <c r="N20" s="10">
        <v>5.16</v>
      </c>
      <c r="O20" s="10">
        <v>4.2699999999999996</v>
      </c>
      <c r="P20" s="10">
        <v>4.8099999999999996</v>
      </c>
      <c r="Q20" s="8" t="s">
        <v>205</v>
      </c>
    </row>
    <row r="21" spans="1:17" x14ac:dyDescent="0.2">
      <c r="A21" s="4" t="s">
        <v>230</v>
      </c>
      <c r="B21" s="8" t="s">
        <v>231</v>
      </c>
      <c r="C21" s="8" t="s">
        <v>200</v>
      </c>
      <c r="D21" s="8" t="s">
        <v>201</v>
      </c>
      <c r="E21" s="9">
        <v>2507</v>
      </c>
      <c r="F21" s="9">
        <v>2828</v>
      </c>
      <c r="G21" s="9">
        <v>2703</v>
      </c>
      <c r="H21" s="9">
        <v>2696</v>
      </c>
      <c r="I21" s="9">
        <v>2832</v>
      </c>
      <c r="J21" s="9">
        <v>3089</v>
      </c>
      <c r="K21" s="9">
        <v>2980</v>
      </c>
      <c r="L21" s="9">
        <v>3073</v>
      </c>
      <c r="M21" s="9">
        <v>2983</v>
      </c>
      <c r="N21" s="9">
        <v>3219</v>
      </c>
      <c r="O21" s="9">
        <v>3081</v>
      </c>
      <c r="P21" s="9">
        <v>3122</v>
      </c>
      <c r="Q21" s="8" t="s">
        <v>205</v>
      </c>
    </row>
    <row r="22" spans="1:17" x14ac:dyDescent="0.2">
      <c r="A22" s="4" t="s">
        <v>232</v>
      </c>
      <c r="B22" s="8" t="s">
        <v>233</v>
      </c>
      <c r="C22" s="8" t="s">
        <v>200</v>
      </c>
      <c r="D22" s="8" t="s">
        <v>201</v>
      </c>
      <c r="E22" s="9">
        <v>30583</v>
      </c>
      <c r="F22" s="9">
        <v>18853</v>
      </c>
      <c r="G22" s="9">
        <v>31917</v>
      </c>
      <c r="H22" s="9">
        <v>37195</v>
      </c>
      <c r="I22" s="9">
        <v>34180</v>
      </c>
      <c r="J22" s="9">
        <v>22291</v>
      </c>
      <c r="K22" s="9">
        <v>37044</v>
      </c>
      <c r="L22" s="9">
        <v>42647</v>
      </c>
      <c r="M22" s="9">
        <v>45057</v>
      </c>
      <c r="N22" s="9">
        <v>35758</v>
      </c>
      <c r="O22" s="9">
        <v>46679</v>
      </c>
      <c r="P22" s="9">
        <v>55441</v>
      </c>
      <c r="Q22" s="8" t="s">
        <v>205</v>
      </c>
    </row>
    <row r="23" spans="1:17" x14ac:dyDescent="0.2">
      <c r="A23" s="4" t="s">
        <v>234</v>
      </c>
      <c r="B23" s="8" t="s">
        <v>235</v>
      </c>
      <c r="C23" s="8" t="s">
        <v>200</v>
      </c>
      <c r="D23" s="8" t="s">
        <v>201</v>
      </c>
      <c r="E23" s="9">
        <v>-9917</v>
      </c>
      <c r="F23" s="9">
        <v>-9735</v>
      </c>
      <c r="G23" s="9">
        <v>-10952</v>
      </c>
      <c r="H23" s="9">
        <v>-13873</v>
      </c>
      <c r="I23" s="9">
        <v>-14923</v>
      </c>
      <c r="J23" s="9">
        <v>-15804</v>
      </c>
      <c r="K23" s="9">
        <v>-16745</v>
      </c>
      <c r="L23" s="9">
        <v>-17079</v>
      </c>
      <c r="M23" s="9">
        <v>-19394</v>
      </c>
      <c r="N23" s="9">
        <v>-29876</v>
      </c>
      <c r="O23" s="9">
        <v>-30876</v>
      </c>
      <c r="P23" s="9">
        <v>-35802</v>
      </c>
      <c r="Q23" s="8" t="s">
        <v>205</v>
      </c>
    </row>
    <row r="24" spans="1:17" x14ac:dyDescent="0.2">
      <c r="A24" s="4" t="s">
        <v>236</v>
      </c>
      <c r="B24" s="8" t="s">
        <v>237</v>
      </c>
      <c r="C24" s="8" t="s">
        <v>200</v>
      </c>
      <c r="D24" s="8" t="s">
        <v>201</v>
      </c>
      <c r="E24" s="9">
        <v>-5051</v>
      </c>
      <c r="F24" s="9">
        <v>-5574</v>
      </c>
      <c r="G24" s="9">
        <v>-5572</v>
      </c>
      <c r="H24" s="9">
        <v>-5574</v>
      </c>
      <c r="I24" s="9">
        <v>-5574</v>
      </c>
      <c r="J24" s="9">
        <v>-6170</v>
      </c>
      <c r="K24" s="9">
        <v>-6169</v>
      </c>
      <c r="L24" s="9">
        <v>-6169</v>
      </c>
      <c r="M24" s="9">
        <v>-6169</v>
      </c>
      <c r="N24" s="9">
        <v>-6762</v>
      </c>
      <c r="O24" s="9">
        <v>-6756</v>
      </c>
      <c r="P24" s="9">
        <v>-6758</v>
      </c>
      <c r="Q24" s="8" t="s">
        <v>205</v>
      </c>
    </row>
    <row r="25" spans="1:17" x14ac:dyDescent="0.2">
      <c r="A25" s="4" t="s">
        <v>238</v>
      </c>
      <c r="B25" s="8" t="s">
        <v>239</v>
      </c>
      <c r="C25" s="8" t="s">
        <v>200</v>
      </c>
      <c r="D25" s="8" t="s">
        <v>201</v>
      </c>
      <c r="E25" s="9">
        <v>-4831</v>
      </c>
      <c r="F25" s="9">
        <v>-4000</v>
      </c>
      <c r="G25" s="9">
        <v>-4213</v>
      </c>
      <c r="H25" s="9">
        <v>-4210</v>
      </c>
      <c r="I25" s="9">
        <v>-4107</v>
      </c>
      <c r="J25" s="9">
        <v>-4986</v>
      </c>
      <c r="K25" s="9">
        <v>-4781</v>
      </c>
      <c r="L25" s="9">
        <v>-4546</v>
      </c>
      <c r="M25" s="9">
        <v>-5650</v>
      </c>
      <c r="N25" s="9">
        <v>-7415</v>
      </c>
      <c r="O25" s="9">
        <v>-4627</v>
      </c>
      <c r="P25" s="9">
        <v>-4579</v>
      </c>
      <c r="Q25" s="8" t="s">
        <v>205</v>
      </c>
    </row>
    <row r="26" spans="1:17" x14ac:dyDescent="0.2">
      <c r="A26" s="4" t="s">
        <v>240</v>
      </c>
      <c r="B26" s="8" t="s">
        <v>241</v>
      </c>
      <c r="C26" s="8" t="s">
        <v>200</v>
      </c>
      <c r="D26" s="8" t="s">
        <v>242</v>
      </c>
      <c r="E26" s="9">
        <v>143951</v>
      </c>
      <c r="F26" s="9">
        <v>81017</v>
      </c>
      <c r="G26" s="9">
        <v>80021</v>
      </c>
      <c r="H26" s="9">
        <v>75543</v>
      </c>
      <c r="I26" s="9">
        <v>78428</v>
      </c>
      <c r="J26" s="9">
        <v>71555</v>
      </c>
      <c r="K26" s="9">
        <v>79618</v>
      </c>
      <c r="L26" s="9">
        <v>94565</v>
      </c>
      <c r="M26" s="9">
        <v>102012</v>
      </c>
      <c r="N26" s="9">
        <v>89462</v>
      </c>
      <c r="O26" s="9">
        <v>78272</v>
      </c>
      <c r="P26" s="9">
        <v>76843</v>
      </c>
      <c r="Q26" s="8" t="s">
        <v>205</v>
      </c>
    </row>
    <row r="27" spans="1:17" x14ac:dyDescent="0.2">
      <c r="A27" s="4" t="s">
        <v>243</v>
      </c>
      <c r="B27" s="8" t="s">
        <v>244</v>
      </c>
      <c r="C27" s="8" t="s">
        <v>200</v>
      </c>
      <c r="D27" s="8" t="s">
        <v>242</v>
      </c>
      <c r="E27" s="9">
        <v>445785</v>
      </c>
      <c r="F27" s="9">
        <v>470558</v>
      </c>
      <c r="G27" s="9">
        <v>484275</v>
      </c>
      <c r="H27" s="9">
        <v>512163</v>
      </c>
      <c r="I27" s="9">
        <v>523013</v>
      </c>
      <c r="J27" s="9">
        <v>533898</v>
      </c>
      <c r="K27" s="9">
        <v>562624</v>
      </c>
      <c r="L27" s="9">
        <v>619003</v>
      </c>
      <c r="M27" s="9">
        <v>636351</v>
      </c>
      <c r="N27" s="9">
        <v>665302</v>
      </c>
      <c r="O27" s="9">
        <v>694228</v>
      </c>
      <c r="P27" s="9">
        <v>758376</v>
      </c>
      <c r="Q27" s="8" t="s">
        <v>205</v>
      </c>
    </row>
    <row r="28" spans="1:17" x14ac:dyDescent="0.2">
      <c r="A28" s="4" t="s">
        <v>245</v>
      </c>
      <c r="B28" s="8" t="s">
        <v>246</v>
      </c>
      <c r="C28" s="8" t="s">
        <v>200</v>
      </c>
      <c r="D28" s="8" t="s">
        <v>242</v>
      </c>
      <c r="E28" s="9">
        <v>445785</v>
      </c>
      <c r="F28" s="9">
        <v>470558</v>
      </c>
      <c r="G28" s="9">
        <v>484275</v>
      </c>
      <c r="H28" s="9">
        <v>512163</v>
      </c>
      <c r="I28" s="9">
        <v>523013</v>
      </c>
      <c r="J28" s="9">
        <v>533898</v>
      </c>
      <c r="K28" s="9">
        <v>562624</v>
      </c>
      <c r="L28" s="9">
        <v>619003</v>
      </c>
      <c r="M28" s="9">
        <v>636351</v>
      </c>
      <c r="N28" s="9">
        <v>665302</v>
      </c>
      <c r="O28" s="9">
        <v>694228</v>
      </c>
      <c r="P28" s="9">
        <v>758376</v>
      </c>
      <c r="Q28" s="8" t="s">
        <v>205</v>
      </c>
    </row>
    <row r="29" spans="1:17" x14ac:dyDescent="0.2">
      <c r="A29" s="4" t="s">
        <v>247</v>
      </c>
      <c r="B29" s="8" t="s">
        <v>248</v>
      </c>
      <c r="C29" s="8" t="s">
        <v>200</v>
      </c>
      <c r="D29" s="8" t="s">
        <v>242</v>
      </c>
      <c r="E29" s="9">
        <v>102502</v>
      </c>
      <c r="F29" s="9">
        <v>112308</v>
      </c>
      <c r="G29" s="9">
        <v>121375</v>
      </c>
      <c r="H29" s="9">
        <v>135591</v>
      </c>
      <c r="I29" s="9">
        <v>152863</v>
      </c>
      <c r="J29" s="9">
        <v>166902</v>
      </c>
      <c r="K29" s="9">
        <v>183939</v>
      </c>
      <c r="L29" s="9">
        <v>204966</v>
      </c>
      <c r="M29" s="9">
        <v>230861</v>
      </c>
      <c r="N29" s="9">
        <v>261126</v>
      </c>
      <c r="O29" s="9">
        <v>283228</v>
      </c>
      <c r="P29" s="9">
        <v>313076</v>
      </c>
      <c r="Q29" s="8" t="s">
        <v>205</v>
      </c>
    </row>
    <row r="30" spans="1:17" x14ac:dyDescent="0.2">
      <c r="A30" s="4" t="s">
        <v>249</v>
      </c>
      <c r="B30" s="8" t="s">
        <v>250</v>
      </c>
      <c r="C30" s="8" t="s">
        <v>200</v>
      </c>
      <c r="D30" s="8" t="s">
        <v>242</v>
      </c>
      <c r="E30" s="9">
        <v>69486</v>
      </c>
      <c r="F30" s="9">
        <v>72949</v>
      </c>
      <c r="G30" s="9">
        <v>74945</v>
      </c>
      <c r="H30" s="9">
        <v>76421</v>
      </c>
      <c r="I30" s="9">
        <v>80517</v>
      </c>
      <c r="J30" s="9">
        <v>82820</v>
      </c>
      <c r="K30" s="9">
        <v>87074</v>
      </c>
      <c r="L30" s="9">
        <v>93653</v>
      </c>
      <c r="M30" s="9">
        <v>98880</v>
      </c>
      <c r="N30" s="9">
        <v>104950</v>
      </c>
      <c r="O30" s="9">
        <v>111723</v>
      </c>
      <c r="P30" s="9">
        <v>118691</v>
      </c>
      <c r="Q30" s="8" t="s">
        <v>205</v>
      </c>
    </row>
    <row r="31" spans="1:17" x14ac:dyDescent="0.2">
      <c r="A31" s="4" t="s">
        <v>251</v>
      </c>
      <c r="B31" s="8" t="s">
        <v>252</v>
      </c>
      <c r="C31" s="8" t="s">
        <v>253</v>
      </c>
      <c r="D31" s="8" t="s">
        <v>201</v>
      </c>
      <c r="E31" s="11">
        <v>11.2</v>
      </c>
      <c r="F31" s="11">
        <v>11.5</v>
      </c>
      <c r="G31" s="11">
        <v>14</v>
      </c>
      <c r="H31" s="11">
        <v>19</v>
      </c>
      <c r="I31" s="11">
        <v>20</v>
      </c>
      <c r="J31" s="11">
        <v>22.6</v>
      </c>
      <c r="K31" s="11">
        <v>21.4</v>
      </c>
      <c r="L31" s="11">
        <v>24.2</v>
      </c>
      <c r="M31" s="11">
        <v>34.9</v>
      </c>
      <c r="N31" s="11">
        <v>37.5</v>
      </c>
      <c r="O31" s="11">
        <v>31.9</v>
      </c>
      <c r="P31" s="11">
        <v>41</v>
      </c>
      <c r="Q31" s="8" t="s">
        <v>205</v>
      </c>
    </row>
    <row r="35" spans="1:17" x14ac:dyDescent="0.2">
      <c r="A35" s="4" t="s">
        <v>254</v>
      </c>
    </row>
    <row r="36" spans="1:17" x14ac:dyDescent="0.2">
      <c r="A36" s="7" t="s">
        <v>182</v>
      </c>
      <c r="B36" s="7" t="s">
        <v>255</v>
      </c>
      <c r="C36" s="7" t="s">
        <v>256</v>
      </c>
      <c r="D36" s="7" t="s">
        <v>46</v>
      </c>
      <c r="E36" s="7" t="s">
        <v>185</v>
      </c>
      <c r="F36" s="7" t="s">
        <v>186</v>
      </c>
      <c r="G36" s="7" t="s">
        <v>187</v>
      </c>
      <c r="H36" s="7" t="s">
        <v>188</v>
      </c>
      <c r="I36" s="7" t="s">
        <v>189</v>
      </c>
      <c r="J36" s="7" t="s">
        <v>190</v>
      </c>
      <c r="K36" s="7" t="s">
        <v>191</v>
      </c>
      <c r="L36" s="7" t="s">
        <v>192</v>
      </c>
      <c r="M36" s="7" t="s">
        <v>193</v>
      </c>
      <c r="N36" s="7" t="s">
        <v>194</v>
      </c>
      <c r="O36" s="7" t="s">
        <v>195</v>
      </c>
      <c r="P36" s="7" t="s">
        <v>196</v>
      </c>
      <c r="Q36" s="7" t="s">
        <v>197</v>
      </c>
    </row>
    <row r="37" spans="1:17" x14ac:dyDescent="0.2">
      <c r="A37" s="4" t="s">
        <v>257</v>
      </c>
      <c r="B37" s="8" t="s">
        <v>258</v>
      </c>
      <c r="C37" s="8" t="s">
        <v>259</v>
      </c>
      <c r="D37" s="8" t="s">
        <v>200</v>
      </c>
      <c r="E37" s="9">
        <v>25226</v>
      </c>
      <c r="F37" s="9">
        <v>25854</v>
      </c>
      <c r="G37" s="9">
        <v>27113</v>
      </c>
      <c r="H37" s="9">
        <v>28627</v>
      </c>
      <c r="I37" s="9">
        <v>28317</v>
      </c>
      <c r="J37" s="9">
        <v>29437</v>
      </c>
      <c r="K37" s="9">
        <v>29944</v>
      </c>
      <c r="L37" s="9">
        <v>33112</v>
      </c>
      <c r="M37" s="9">
        <v>33020</v>
      </c>
      <c r="N37" s="9">
        <v>34116</v>
      </c>
      <c r="O37" s="9">
        <v>35013</v>
      </c>
      <c r="P37" s="9">
        <v>37847</v>
      </c>
      <c r="Q37" s="8" t="s">
        <v>260</v>
      </c>
    </row>
    <row r="38" spans="1:17" x14ac:dyDescent="0.2">
      <c r="A38" s="4" t="s">
        <v>261</v>
      </c>
      <c r="B38" s="8" t="s">
        <v>258</v>
      </c>
      <c r="C38" s="8" t="s">
        <v>262</v>
      </c>
      <c r="D38" s="8" t="s">
        <v>200</v>
      </c>
      <c r="I38" s="9">
        <v>5294</v>
      </c>
      <c r="J38" s="9">
        <v>5569</v>
      </c>
      <c r="K38" s="9">
        <v>5517</v>
      </c>
      <c r="L38" s="9">
        <v>6042</v>
      </c>
      <c r="M38" s="9">
        <v>5721</v>
      </c>
      <c r="N38" s="9">
        <v>6110</v>
      </c>
      <c r="O38" s="9">
        <v>6197</v>
      </c>
      <c r="P38" s="9">
        <v>6989</v>
      </c>
      <c r="Q38" s="8" t="s">
        <v>260</v>
      </c>
    </row>
    <row r="39" spans="1:17" x14ac:dyDescent="0.2">
      <c r="A39" s="4" t="s">
        <v>263</v>
      </c>
      <c r="B39" s="8" t="s">
        <v>258</v>
      </c>
      <c r="C39" s="8" t="s">
        <v>264</v>
      </c>
      <c r="D39" s="8" t="s">
        <v>200</v>
      </c>
      <c r="I39" s="9">
        <v>6507</v>
      </c>
      <c r="J39" s="9">
        <v>6983</v>
      </c>
      <c r="K39" s="9">
        <v>7048</v>
      </c>
      <c r="L39" s="9">
        <v>8077</v>
      </c>
      <c r="M39" s="9">
        <v>6892</v>
      </c>
      <c r="N39" s="9">
        <v>7407</v>
      </c>
      <c r="O39" s="9">
        <v>7843</v>
      </c>
      <c r="P39" s="9">
        <v>8958</v>
      </c>
      <c r="Q39" s="8" t="s">
        <v>260</v>
      </c>
    </row>
    <row r="40" spans="1:17" x14ac:dyDescent="0.2">
      <c r="A40" s="4" t="s">
        <v>265</v>
      </c>
      <c r="B40" s="8" t="s">
        <v>258</v>
      </c>
      <c r="C40" s="8" t="s">
        <v>219</v>
      </c>
      <c r="D40" s="8" t="s">
        <v>200</v>
      </c>
      <c r="E40" s="9">
        <v>14297</v>
      </c>
      <c r="F40" s="9">
        <v>14515</v>
      </c>
      <c r="G40" s="9">
        <v>15143</v>
      </c>
      <c r="H40" s="9">
        <v>15706</v>
      </c>
      <c r="I40" s="9">
        <v>16516</v>
      </c>
      <c r="J40" s="9">
        <v>16885</v>
      </c>
      <c r="K40" s="9">
        <v>17379</v>
      </c>
      <c r="L40" s="9">
        <v>18993</v>
      </c>
      <c r="M40" s="9">
        <v>20407</v>
      </c>
      <c r="N40" s="9">
        <v>20599</v>
      </c>
      <c r="O40" s="9">
        <v>20973</v>
      </c>
      <c r="P40" s="9">
        <v>21900</v>
      </c>
      <c r="Q40" s="8" t="s">
        <v>260</v>
      </c>
    </row>
    <row r="41" spans="1:17" x14ac:dyDescent="0.2">
      <c r="A41" s="4" t="s">
        <v>266</v>
      </c>
      <c r="B41" s="8" t="s">
        <v>267</v>
      </c>
      <c r="C41" s="8" t="s">
        <v>259</v>
      </c>
      <c r="D41" s="8" t="s">
        <v>200</v>
      </c>
      <c r="E41" s="9">
        <v>20013</v>
      </c>
      <c r="F41" s="9">
        <v>21525</v>
      </c>
      <c r="G41" s="9">
        <v>22141</v>
      </c>
      <c r="H41" s="9">
        <v>23785</v>
      </c>
      <c r="I41" s="9">
        <v>24092</v>
      </c>
      <c r="J41" s="9">
        <v>25544</v>
      </c>
      <c r="K41" s="9">
        <v>26751</v>
      </c>
      <c r="L41" s="9">
        <v>29878</v>
      </c>
      <c r="M41" s="9">
        <v>30897</v>
      </c>
      <c r="N41" s="9">
        <v>32907</v>
      </c>
      <c r="O41" s="9">
        <v>34681</v>
      </c>
      <c r="P41" s="9">
        <v>39306</v>
      </c>
      <c r="Q41" s="8" t="s">
        <v>260</v>
      </c>
    </row>
    <row r="42" spans="1:17" x14ac:dyDescent="0.2">
      <c r="A42" s="4" t="s">
        <v>268</v>
      </c>
      <c r="B42" s="8" t="s">
        <v>267</v>
      </c>
      <c r="C42" s="8" t="s">
        <v>262</v>
      </c>
      <c r="D42" s="8" t="s">
        <v>200</v>
      </c>
      <c r="I42" s="9">
        <v>8614</v>
      </c>
      <c r="J42" s="9">
        <v>9405</v>
      </c>
      <c r="K42" s="9">
        <v>10307</v>
      </c>
      <c r="L42" s="9">
        <v>11845</v>
      </c>
      <c r="M42" s="9">
        <v>12314</v>
      </c>
      <c r="N42" s="9">
        <v>13566</v>
      </c>
      <c r="O42" s="9">
        <v>15120</v>
      </c>
      <c r="P42" s="9">
        <v>16876</v>
      </c>
      <c r="Q42" s="8" t="s">
        <v>260</v>
      </c>
    </row>
    <row r="43" spans="1:17" x14ac:dyDescent="0.2">
      <c r="A43" s="4" t="s">
        <v>269</v>
      </c>
      <c r="B43" s="8" t="s">
        <v>267</v>
      </c>
      <c r="C43" s="8" t="s">
        <v>264</v>
      </c>
      <c r="D43" s="8" t="s">
        <v>200</v>
      </c>
      <c r="I43" s="9">
        <v>4975</v>
      </c>
      <c r="J43" s="9">
        <v>5288</v>
      </c>
      <c r="K43" s="9">
        <v>5349</v>
      </c>
      <c r="L43" s="9">
        <v>5893</v>
      </c>
      <c r="M43" s="9">
        <v>5192</v>
      </c>
      <c r="N43" s="9">
        <v>5468</v>
      </c>
      <c r="O43" s="9">
        <v>5808</v>
      </c>
      <c r="P43" s="9">
        <v>6475</v>
      </c>
      <c r="Q43" s="8" t="s">
        <v>260</v>
      </c>
    </row>
    <row r="44" spans="1:17" x14ac:dyDescent="0.2">
      <c r="A44" s="4" t="s">
        <v>270</v>
      </c>
      <c r="B44" s="8" t="s">
        <v>267</v>
      </c>
      <c r="C44" s="8" t="s">
        <v>219</v>
      </c>
      <c r="D44" s="8" t="s">
        <v>200</v>
      </c>
      <c r="E44" s="9">
        <v>8908</v>
      </c>
      <c r="F44" s="9">
        <v>9555</v>
      </c>
      <c r="G44" s="9">
        <v>9515</v>
      </c>
      <c r="H44" s="9">
        <v>9835</v>
      </c>
      <c r="I44" s="9">
        <v>10503</v>
      </c>
      <c r="J44" s="9">
        <v>10851</v>
      </c>
      <c r="K44" s="9">
        <v>11095</v>
      </c>
      <c r="L44" s="9">
        <v>12140</v>
      </c>
      <c r="M44" s="9">
        <v>13391</v>
      </c>
      <c r="N44" s="9">
        <v>13873</v>
      </c>
      <c r="O44" s="9">
        <v>13753</v>
      </c>
      <c r="P44" s="9">
        <v>15955</v>
      </c>
      <c r="Q44" s="8" t="s">
        <v>260</v>
      </c>
    </row>
    <row r="45" spans="1:17" x14ac:dyDescent="0.2">
      <c r="A45" s="4" t="s">
        <v>271</v>
      </c>
      <c r="B45" s="8" t="s">
        <v>272</v>
      </c>
      <c r="C45" s="8" t="s">
        <v>259</v>
      </c>
      <c r="D45" s="8" t="s">
        <v>200</v>
      </c>
      <c r="E45" s="9">
        <v>11278</v>
      </c>
      <c r="F45" s="9">
        <v>14641</v>
      </c>
      <c r="G45" s="9">
        <v>12604</v>
      </c>
      <c r="H45" s="9">
        <v>12315</v>
      </c>
      <c r="I45" s="9">
        <v>13176</v>
      </c>
      <c r="J45" s="9">
        <v>14651</v>
      </c>
      <c r="K45" s="9">
        <v>13371</v>
      </c>
      <c r="L45" s="9">
        <v>13451</v>
      </c>
      <c r="M45" s="9">
        <v>13756</v>
      </c>
      <c r="N45" s="9">
        <v>14250</v>
      </c>
      <c r="O45" s="9">
        <v>13192</v>
      </c>
      <c r="P45" s="9">
        <v>12854</v>
      </c>
      <c r="Q45" s="8" t="s">
        <v>260</v>
      </c>
    </row>
    <row r="46" spans="1:17" x14ac:dyDescent="0.2">
      <c r="A46" s="4" t="s">
        <v>273</v>
      </c>
      <c r="B46" s="8" t="s">
        <v>272</v>
      </c>
      <c r="C46" s="8" t="s">
        <v>262</v>
      </c>
      <c r="D46" s="8" t="s">
        <v>200</v>
      </c>
      <c r="I46" s="9">
        <v>6191</v>
      </c>
      <c r="J46" s="9">
        <v>6825</v>
      </c>
      <c r="K46" s="9">
        <v>6095</v>
      </c>
      <c r="L46" s="9">
        <v>6127</v>
      </c>
      <c r="M46" s="9">
        <v>6008</v>
      </c>
      <c r="N46" s="9">
        <v>6302</v>
      </c>
      <c r="O46" s="9">
        <v>5511</v>
      </c>
      <c r="P46" s="9">
        <v>5660</v>
      </c>
      <c r="Q46" s="8" t="s">
        <v>260</v>
      </c>
    </row>
    <row r="47" spans="1:17" x14ac:dyDescent="0.2">
      <c r="A47" s="4" t="s">
        <v>274</v>
      </c>
      <c r="B47" s="8" t="s">
        <v>272</v>
      </c>
      <c r="C47" s="8" t="s">
        <v>264</v>
      </c>
      <c r="D47" s="8" t="s">
        <v>200</v>
      </c>
      <c r="I47" s="9">
        <v>3452</v>
      </c>
      <c r="J47" s="9">
        <v>3909</v>
      </c>
      <c r="K47" s="9">
        <v>3750</v>
      </c>
      <c r="L47" s="9">
        <v>4134</v>
      </c>
      <c r="M47" s="9">
        <v>3585</v>
      </c>
      <c r="N47" s="9">
        <v>4145</v>
      </c>
      <c r="O47" s="9">
        <v>4009</v>
      </c>
      <c r="P47" s="9">
        <v>4446</v>
      </c>
      <c r="Q47" s="8" t="s">
        <v>260</v>
      </c>
    </row>
    <row r="48" spans="1:17" x14ac:dyDescent="0.2">
      <c r="A48" s="4" t="s">
        <v>275</v>
      </c>
      <c r="B48" s="8" t="s">
        <v>272</v>
      </c>
      <c r="C48" s="8" t="s">
        <v>219</v>
      </c>
      <c r="D48" s="8" t="s">
        <v>200</v>
      </c>
      <c r="E48" s="9">
        <v>3690</v>
      </c>
      <c r="F48" s="9">
        <v>2962</v>
      </c>
      <c r="G48" s="9">
        <v>2923</v>
      </c>
      <c r="H48" s="9">
        <v>2384</v>
      </c>
      <c r="I48" s="9">
        <v>3533</v>
      </c>
      <c r="J48" s="9">
        <v>3917</v>
      </c>
      <c r="K48" s="9">
        <v>3526</v>
      </c>
      <c r="L48" s="9">
        <v>3190</v>
      </c>
      <c r="M48" s="9">
        <v>4163</v>
      </c>
      <c r="N48" s="9">
        <v>3803</v>
      </c>
      <c r="O48" s="9">
        <v>3672</v>
      </c>
      <c r="P48" s="9">
        <v>2748</v>
      </c>
      <c r="Q48" s="8" t="s">
        <v>260</v>
      </c>
    </row>
    <row r="49" spans="1:17" x14ac:dyDescent="0.2">
      <c r="A49" s="4" t="s">
        <v>276</v>
      </c>
      <c r="B49" s="8" t="s">
        <v>277</v>
      </c>
      <c r="C49" s="8" t="s">
        <v>259</v>
      </c>
      <c r="D49" s="8" t="s">
        <v>200</v>
      </c>
      <c r="E49" s="9">
        <v>56517</v>
      </c>
      <c r="F49" s="9">
        <v>62020</v>
      </c>
      <c r="G49" s="9">
        <v>61858</v>
      </c>
      <c r="H49" s="9">
        <v>64727</v>
      </c>
      <c r="I49" s="9">
        <v>65585</v>
      </c>
      <c r="J49" s="9">
        <v>69632</v>
      </c>
      <c r="K49" s="9">
        <v>70066</v>
      </c>
      <c r="L49" s="9">
        <v>76441</v>
      </c>
      <c r="M49" s="9">
        <v>77673</v>
      </c>
      <c r="N49" s="9">
        <v>81273</v>
      </c>
      <c r="O49" s="9">
        <v>82886</v>
      </c>
      <c r="P49" s="9">
        <v>90007</v>
      </c>
      <c r="Q49" s="8" t="s">
        <v>260</v>
      </c>
    </row>
    <row r="50" spans="1:17" x14ac:dyDescent="0.2">
      <c r="A50" s="4" t="s">
        <v>278</v>
      </c>
      <c r="B50" s="8" t="s">
        <v>277</v>
      </c>
      <c r="C50" s="8" t="s">
        <v>262</v>
      </c>
      <c r="D50" s="8" t="s">
        <v>200</v>
      </c>
      <c r="I50" s="9">
        <v>20099</v>
      </c>
      <c r="J50" s="9">
        <v>21799</v>
      </c>
      <c r="K50" s="9">
        <v>21919</v>
      </c>
      <c r="L50" s="9">
        <v>24014</v>
      </c>
      <c r="M50" s="9">
        <v>24043</v>
      </c>
      <c r="N50" s="9">
        <v>25978</v>
      </c>
      <c r="O50" s="9">
        <v>26828</v>
      </c>
      <c r="P50" s="9">
        <v>29525</v>
      </c>
      <c r="Q50" s="8" t="s">
        <v>260</v>
      </c>
    </row>
    <row r="51" spans="1:17" x14ac:dyDescent="0.2">
      <c r="A51" s="4" t="s">
        <v>279</v>
      </c>
      <c r="B51" s="8" t="s">
        <v>277</v>
      </c>
      <c r="C51" s="8" t="s">
        <v>264</v>
      </c>
      <c r="D51" s="8" t="s">
        <v>200</v>
      </c>
      <c r="I51" s="9">
        <v>14934</v>
      </c>
      <c r="J51" s="9">
        <v>16180</v>
      </c>
      <c r="K51" s="9">
        <v>16147</v>
      </c>
      <c r="L51" s="9">
        <v>18104</v>
      </c>
      <c r="M51" s="9">
        <v>15669</v>
      </c>
      <c r="N51" s="9">
        <v>17020</v>
      </c>
      <c r="O51" s="9">
        <v>17660</v>
      </c>
      <c r="P51" s="9">
        <v>19879</v>
      </c>
      <c r="Q51" s="8" t="s">
        <v>260</v>
      </c>
    </row>
    <row r="52" spans="1:17" x14ac:dyDescent="0.2">
      <c r="A52" s="4" t="s">
        <v>280</v>
      </c>
      <c r="B52" s="8" t="s">
        <v>277</v>
      </c>
      <c r="C52" s="8" t="s">
        <v>219</v>
      </c>
      <c r="D52" s="8" t="s">
        <v>200</v>
      </c>
      <c r="E52" s="9">
        <v>26895</v>
      </c>
      <c r="F52" s="9">
        <v>27032</v>
      </c>
      <c r="G52" s="9">
        <v>27581</v>
      </c>
      <c r="H52" s="9">
        <v>27925</v>
      </c>
      <c r="I52" s="9">
        <v>30552</v>
      </c>
      <c r="J52" s="9">
        <v>31653</v>
      </c>
      <c r="K52" s="9">
        <v>32000</v>
      </c>
      <c r="L52" s="9">
        <v>34323</v>
      </c>
      <c r="M52" s="9">
        <v>37961</v>
      </c>
      <c r="N52" s="9">
        <v>38275</v>
      </c>
      <c r="O52" s="9">
        <v>38398</v>
      </c>
      <c r="P52" s="9">
        <v>40603</v>
      </c>
      <c r="Q52" s="8" t="s">
        <v>260</v>
      </c>
    </row>
    <row r="56" spans="1:17" x14ac:dyDescent="0.2">
      <c r="A56" s="4" t="s">
        <v>281</v>
      </c>
    </row>
    <row r="57" spans="1:17" x14ac:dyDescent="0.2">
      <c r="A57" s="7" t="s">
        <v>182</v>
      </c>
      <c r="B57" s="7" t="s">
        <v>183</v>
      </c>
      <c r="C57" s="7" t="s">
        <v>46</v>
      </c>
      <c r="D57" s="7" t="s">
        <v>184</v>
      </c>
      <c r="E57" s="7" t="s">
        <v>185</v>
      </c>
      <c r="F57" s="7" t="s">
        <v>186</v>
      </c>
      <c r="G57" s="7" t="s">
        <v>187</v>
      </c>
      <c r="H57" s="7" t="s">
        <v>188</v>
      </c>
      <c r="I57" s="7" t="s">
        <v>189</v>
      </c>
      <c r="J57" s="7" t="s">
        <v>190</v>
      </c>
      <c r="K57" s="7" t="s">
        <v>191</v>
      </c>
      <c r="L57" s="7" t="s">
        <v>192</v>
      </c>
      <c r="M57" s="7" t="s">
        <v>193</v>
      </c>
      <c r="N57" s="7" t="s">
        <v>194</v>
      </c>
      <c r="O57" s="7" t="s">
        <v>195</v>
      </c>
      <c r="P57" s="7" t="s">
        <v>196</v>
      </c>
      <c r="Q57" s="7" t="s">
        <v>197</v>
      </c>
    </row>
    <row r="58" spans="1:17" x14ac:dyDescent="0.2">
      <c r="A58" s="4" t="s">
        <v>282</v>
      </c>
      <c r="B58" s="8" t="s">
        <v>283</v>
      </c>
      <c r="C58" s="8" t="s">
        <v>200</v>
      </c>
      <c r="D58" s="8" t="s">
        <v>201</v>
      </c>
      <c r="E58" s="9">
        <v>18062</v>
      </c>
      <c r="F58" s="9">
        <v>19597</v>
      </c>
      <c r="G58" s="9">
        <v>20266</v>
      </c>
      <c r="H58" s="9">
        <v>21903</v>
      </c>
      <c r="I58" s="9">
        <v>22155</v>
      </c>
      <c r="J58" s="9">
        <v>23641</v>
      </c>
      <c r="K58" s="9">
        <v>24761</v>
      </c>
      <c r="L58" s="9">
        <v>27878</v>
      </c>
      <c r="M58" s="9">
        <v>28872</v>
      </c>
      <c r="N58" s="9">
        <v>30865</v>
      </c>
      <c r="O58" s="9">
        <v>32592</v>
      </c>
      <c r="P58" s="9">
        <v>37096</v>
      </c>
      <c r="Q58" s="8" t="s">
        <v>284</v>
      </c>
    </row>
    <row r="59" spans="1:17" x14ac:dyDescent="0.2">
      <c r="A59" s="4" t="s">
        <v>285</v>
      </c>
      <c r="B59" s="8" t="s">
        <v>286</v>
      </c>
      <c r="C59" s="8" t="s">
        <v>200</v>
      </c>
      <c r="D59" s="8" t="s">
        <v>201</v>
      </c>
      <c r="E59" s="9">
        <v>18044</v>
      </c>
      <c r="F59" s="9">
        <v>18321</v>
      </c>
      <c r="G59" s="9">
        <v>19712</v>
      </c>
      <c r="H59" s="9">
        <v>20892</v>
      </c>
      <c r="I59" s="9">
        <v>20449</v>
      </c>
      <c r="J59" s="9">
        <v>21117</v>
      </c>
      <c r="K59" s="9">
        <v>21883</v>
      </c>
      <c r="L59" s="9">
        <v>24318</v>
      </c>
      <c r="M59" s="9">
        <v>23966</v>
      </c>
      <c r="N59" s="9">
        <v>24524</v>
      </c>
      <c r="O59" s="9">
        <v>25593</v>
      </c>
      <c r="P59" s="9">
        <v>27914</v>
      </c>
      <c r="Q59" s="8" t="s">
        <v>284</v>
      </c>
    </row>
    <row r="60" spans="1:17" x14ac:dyDescent="0.2">
      <c r="A60" s="4" t="s">
        <v>287</v>
      </c>
      <c r="B60" s="8" t="s">
        <v>288</v>
      </c>
      <c r="C60" s="8" t="s">
        <v>200</v>
      </c>
      <c r="D60" s="8" t="s">
        <v>201</v>
      </c>
      <c r="E60" s="9">
        <v>3919</v>
      </c>
      <c r="F60" s="9">
        <v>7111</v>
      </c>
      <c r="G60" s="9">
        <v>5451</v>
      </c>
      <c r="H60" s="9">
        <v>5022</v>
      </c>
      <c r="I60" s="9">
        <v>5621</v>
      </c>
      <c r="J60" s="9">
        <v>6581</v>
      </c>
      <c r="K60" s="9">
        <v>5721</v>
      </c>
      <c r="L60" s="9">
        <v>5532</v>
      </c>
      <c r="M60" s="9">
        <v>5508</v>
      </c>
      <c r="N60" s="9">
        <v>5958</v>
      </c>
      <c r="O60" s="9">
        <v>5341</v>
      </c>
      <c r="P60" s="9">
        <v>4983</v>
      </c>
      <c r="Q60" s="8" t="s">
        <v>284</v>
      </c>
    </row>
    <row r="61" spans="1:17" x14ac:dyDescent="0.2">
      <c r="A61" s="4" t="s">
        <v>289</v>
      </c>
      <c r="B61" s="8" t="s">
        <v>290</v>
      </c>
      <c r="C61" s="8" t="s">
        <v>200</v>
      </c>
      <c r="D61" s="8" t="s">
        <v>201</v>
      </c>
      <c r="E61" s="9">
        <v>3913</v>
      </c>
      <c r="F61" s="9">
        <v>4195</v>
      </c>
      <c r="G61" s="9">
        <v>4013</v>
      </c>
      <c r="H61" s="9">
        <v>4251</v>
      </c>
      <c r="I61" s="9">
        <v>4292</v>
      </c>
      <c r="J61" s="9">
        <v>4587</v>
      </c>
      <c r="K61" s="9">
        <v>4311</v>
      </c>
      <c r="L61" s="9">
        <v>4622</v>
      </c>
      <c r="M61" s="9">
        <v>4714</v>
      </c>
      <c r="N61" s="9">
        <v>5082</v>
      </c>
      <c r="O61" s="9">
        <v>4832</v>
      </c>
      <c r="P61" s="9">
        <v>5189</v>
      </c>
      <c r="Q61" s="8" t="s">
        <v>284</v>
      </c>
    </row>
    <row r="62" spans="1:17" x14ac:dyDescent="0.2">
      <c r="A62" s="4" t="s">
        <v>291</v>
      </c>
      <c r="B62" s="8" t="s">
        <v>292</v>
      </c>
      <c r="C62" s="8" t="s">
        <v>200</v>
      </c>
      <c r="D62" s="8" t="s">
        <v>201</v>
      </c>
      <c r="E62" s="9">
        <v>4340</v>
      </c>
      <c r="F62" s="9">
        <v>4363</v>
      </c>
      <c r="G62" s="9">
        <v>4098</v>
      </c>
      <c r="H62" s="9">
        <v>4225</v>
      </c>
      <c r="I62" s="9">
        <v>4329</v>
      </c>
      <c r="J62" s="9">
        <v>4512</v>
      </c>
      <c r="K62" s="9">
        <v>4144</v>
      </c>
      <c r="L62" s="9">
        <v>4329</v>
      </c>
      <c r="M62" s="9">
        <v>4551</v>
      </c>
      <c r="N62" s="9">
        <v>4479</v>
      </c>
      <c r="O62" s="9">
        <v>4041</v>
      </c>
      <c r="P62" s="9">
        <v>4013</v>
      </c>
      <c r="Q62" s="8" t="s">
        <v>284</v>
      </c>
    </row>
    <row r="63" spans="1:17" x14ac:dyDescent="0.2">
      <c r="A63" s="4" t="s">
        <v>293</v>
      </c>
      <c r="B63" s="8" t="s">
        <v>294</v>
      </c>
      <c r="C63" s="8" t="s">
        <v>200</v>
      </c>
      <c r="D63" s="8" t="s">
        <v>201</v>
      </c>
      <c r="E63" s="9">
        <v>3018</v>
      </c>
      <c r="F63" s="9">
        <v>3168</v>
      </c>
      <c r="G63" s="9">
        <v>3055</v>
      </c>
      <c r="H63" s="9">
        <v>3065</v>
      </c>
      <c r="I63" s="9">
        <v>3225</v>
      </c>
      <c r="J63" s="9">
        <v>3558</v>
      </c>
      <c r="K63" s="9">
        <v>3504</v>
      </c>
      <c r="L63" s="9">
        <v>3591</v>
      </c>
      <c r="M63" s="9">
        <v>3697</v>
      </c>
      <c r="N63" s="9">
        <v>3812</v>
      </c>
      <c r="O63" s="9">
        <v>3808</v>
      </c>
      <c r="P63" s="9">
        <v>3859</v>
      </c>
      <c r="Q63" s="8" t="s">
        <v>284</v>
      </c>
    </row>
    <row r="64" spans="1:17" x14ac:dyDescent="0.2">
      <c r="A64" s="4" t="s">
        <v>295</v>
      </c>
      <c r="B64" s="8" t="s">
        <v>296</v>
      </c>
      <c r="C64" s="8" t="s">
        <v>200</v>
      </c>
      <c r="D64" s="8" t="s">
        <v>201</v>
      </c>
      <c r="E64" s="9">
        <v>1643</v>
      </c>
      <c r="F64" s="9">
        <v>1679</v>
      </c>
      <c r="G64" s="9">
        <v>1648</v>
      </c>
      <c r="H64" s="9">
        <v>1678</v>
      </c>
      <c r="I64" s="9">
        <v>1727</v>
      </c>
      <c r="J64" s="9">
        <v>1821</v>
      </c>
      <c r="K64" s="9">
        <v>1821</v>
      </c>
      <c r="L64" s="9">
        <v>2035</v>
      </c>
      <c r="M64" s="9">
        <v>2204</v>
      </c>
      <c r="N64" s="9">
        <v>2305</v>
      </c>
      <c r="O64" s="9">
        <v>2297</v>
      </c>
      <c r="P64" s="9">
        <v>2369</v>
      </c>
      <c r="Q64" s="8" t="s">
        <v>284</v>
      </c>
    </row>
    <row r="65" spans="1:17" x14ac:dyDescent="0.2">
      <c r="A65" s="4" t="s">
        <v>297</v>
      </c>
      <c r="B65" s="8" t="s">
        <v>298</v>
      </c>
      <c r="C65" s="8" t="s">
        <v>200</v>
      </c>
      <c r="D65" s="8" t="s">
        <v>201</v>
      </c>
      <c r="E65" s="9">
        <v>1626</v>
      </c>
      <c r="F65" s="9">
        <v>1659</v>
      </c>
      <c r="G65" s="9">
        <v>1740</v>
      </c>
      <c r="H65" s="9">
        <v>1806</v>
      </c>
      <c r="I65" s="9">
        <v>1849</v>
      </c>
      <c r="J65" s="9">
        <v>1913</v>
      </c>
      <c r="K65" s="9">
        <v>1929</v>
      </c>
      <c r="L65" s="9">
        <v>2136</v>
      </c>
      <c r="M65" s="9">
        <v>2136</v>
      </c>
      <c r="N65" s="9">
        <v>2204</v>
      </c>
      <c r="O65" s="9">
        <v>2292</v>
      </c>
      <c r="P65" s="9">
        <v>2374</v>
      </c>
      <c r="Q65" s="8" t="s">
        <v>284</v>
      </c>
    </row>
    <row r="66" spans="1:17" x14ac:dyDescent="0.2">
      <c r="A66" s="4" t="s">
        <v>299</v>
      </c>
      <c r="B66" s="8" t="s">
        <v>300</v>
      </c>
      <c r="C66" s="8" t="s">
        <v>200</v>
      </c>
      <c r="D66" s="8" t="s">
        <v>201</v>
      </c>
      <c r="E66" s="9">
        <v>1944</v>
      </c>
      <c r="F66" s="9">
        <v>1917</v>
      </c>
      <c r="G66" s="9">
        <v>1861</v>
      </c>
      <c r="H66" s="9">
        <v>1872</v>
      </c>
      <c r="I66" s="9">
        <v>1928</v>
      </c>
      <c r="J66" s="9">
        <v>1892</v>
      </c>
      <c r="K66" s="9">
        <v>1946</v>
      </c>
      <c r="L66" s="9">
        <v>1994</v>
      </c>
      <c r="M66" s="9">
        <v>2022</v>
      </c>
      <c r="N66" s="9">
        <v>2038</v>
      </c>
      <c r="O66" s="9">
        <v>2087</v>
      </c>
      <c r="P66" s="9">
        <v>2113</v>
      </c>
      <c r="Q66" s="8" t="s">
        <v>284</v>
      </c>
    </row>
    <row r="67" spans="1:17" x14ac:dyDescent="0.2">
      <c r="A67" s="4" t="s">
        <v>301</v>
      </c>
      <c r="B67" s="8" t="s">
        <v>302</v>
      </c>
      <c r="C67" s="8" t="s">
        <v>200</v>
      </c>
      <c r="D67" s="8" t="s">
        <v>201</v>
      </c>
      <c r="E67" s="9">
        <v>8</v>
      </c>
      <c r="F67" s="9">
        <v>10</v>
      </c>
      <c r="G67" s="9">
        <v>14</v>
      </c>
      <c r="H67" s="9">
        <v>13</v>
      </c>
      <c r="I67" s="9">
        <v>10</v>
      </c>
      <c r="J67" s="9">
        <v>10</v>
      </c>
      <c r="K67" s="9">
        <v>46</v>
      </c>
      <c r="L67" s="9">
        <v>6</v>
      </c>
      <c r="M67" s="9">
        <v>3</v>
      </c>
      <c r="N67" s="9">
        <v>6</v>
      </c>
      <c r="O67" s="9">
        <v>3</v>
      </c>
      <c r="P67" s="9">
        <v>97</v>
      </c>
      <c r="Q67" s="8" t="s">
        <v>284</v>
      </c>
    </row>
    <row r="68" spans="1:17" x14ac:dyDescent="0.2">
      <c r="A68" s="4" t="s">
        <v>303</v>
      </c>
      <c r="B68" s="8" t="s">
        <v>277</v>
      </c>
      <c r="C68" s="8" t="s">
        <v>200</v>
      </c>
      <c r="D68" s="8" t="s">
        <v>201</v>
      </c>
      <c r="E68" s="9">
        <v>56517</v>
      </c>
      <c r="F68" s="9">
        <v>62020</v>
      </c>
      <c r="G68" s="9">
        <v>61858</v>
      </c>
      <c r="H68" s="9">
        <v>64727</v>
      </c>
      <c r="I68" s="9">
        <v>65585</v>
      </c>
      <c r="J68" s="9">
        <v>69632</v>
      </c>
      <c r="K68" s="9">
        <v>70066</v>
      </c>
      <c r="L68" s="9">
        <v>76441</v>
      </c>
      <c r="M68" s="9">
        <v>77673</v>
      </c>
      <c r="N68" s="9">
        <v>81273</v>
      </c>
      <c r="O68" s="9">
        <v>82886</v>
      </c>
      <c r="P68" s="9">
        <v>90007</v>
      </c>
      <c r="Q68" s="8" t="s">
        <v>284</v>
      </c>
    </row>
    <row r="72" spans="1:17" x14ac:dyDescent="0.2">
      <c r="A72" s="4" t="s">
        <v>304</v>
      </c>
    </row>
    <row r="73" spans="1:17" x14ac:dyDescent="0.2">
      <c r="A73" s="7" t="s">
        <v>182</v>
      </c>
      <c r="B73" s="7" t="s">
        <v>183</v>
      </c>
      <c r="C73" s="7" t="s">
        <v>46</v>
      </c>
      <c r="D73" s="7" t="s">
        <v>184</v>
      </c>
      <c r="E73" s="7" t="s">
        <v>185</v>
      </c>
      <c r="F73" s="7" t="s">
        <v>186</v>
      </c>
      <c r="G73" s="7" t="s">
        <v>187</v>
      </c>
      <c r="H73" s="7" t="s">
        <v>188</v>
      </c>
      <c r="I73" s="7" t="s">
        <v>189</v>
      </c>
      <c r="J73" s="7" t="s">
        <v>190</v>
      </c>
      <c r="K73" s="7" t="s">
        <v>191</v>
      </c>
      <c r="L73" s="7" t="s">
        <v>192</v>
      </c>
      <c r="M73" s="7" t="s">
        <v>193</v>
      </c>
      <c r="N73" s="7" t="s">
        <v>194</v>
      </c>
      <c r="O73" s="7" t="s">
        <v>195</v>
      </c>
      <c r="P73" s="7" t="s">
        <v>196</v>
      </c>
      <c r="Q73" s="7" t="s">
        <v>197</v>
      </c>
    </row>
    <row r="74" spans="1:17" x14ac:dyDescent="0.2">
      <c r="A74" s="4" t="s">
        <v>232</v>
      </c>
      <c r="B74" s="8" t="s">
        <v>233</v>
      </c>
      <c r="C74" s="8" t="s">
        <v>200</v>
      </c>
      <c r="D74" s="8" t="s">
        <v>305</v>
      </c>
      <c r="E74" s="9">
        <v>30583</v>
      </c>
      <c r="F74" s="9">
        <v>49436</v>
      </c>
      <c r="G74" s="9">
        <v>81353</v>
      </c>
      <c r="H74" s="9">
        <v>118548</v>
      </c>
      <c r="I74" s="9">
        <v>34180</v>
      </c>
      <c r="J74" s="9">
        <v>56471</v>
      </c>
      <c r="K74" s="9">
        <v>93515</v>
      </c>
      <c r="L74" s="9">
        <v>136162</v>
      </c>
      <c r="M74" s="9">
        <v>45057</v>
      </c>
      <c r="N74" s="9">
        <v>80815</v>
      </c>
      <c r="O74" s="9">
        <v>127494</v>
      </c>
      <c r="P74" s="9">
        <v>182935</v>
      </c>
      <c r="Q74" s="8" t="s">
        <v>306</v>
      </c>
    </row>
    <row r="75" spans="1:17" x14ac:dyDescent="0.2">
      <c r="A75" s="4" t="s">
        <v>234</v>
      </c>
      <c r="B75" s="8" t="s">
        <v>235</v>
      </c>
      <c r="C75" s="8" t="s">
        <v>200</v>
      </c>
      <c r="D75" s="8" t="s">
        <v>305</v>
      </c>
      <c r="E75" s="9">
        <v>-9917</v>
      </c>
      <c r="F75" s="9">
        <v>-19652</v>
      </c>
      <c r="G75" s="9">
        <v>-30604</v>
      </c>
      <c r="H75" s="9">
        <v>-44477</v>
      </c>
      <c r="I75" s="9">
        <v>-14923</v>
      </c>
      <c r="J75" s="9">
        <v>-30727</v>
      </c>
      <c r="K75" s="9">
        <v>-47472</v>
      </c>
      <c r="L75" s="9">
        <v>-64551</v>
      </c>
      <c r="M75" s="9">
        <v>-19394</v>
      </c>
      <c r="N75" s="9">
        <v>-49270</v>
      </c>
      <c r="O75" s="9">
        <v>-80146</v>
      </c>
      <c r="P75" s="9">
        <v>-115948</v>
      </c>
      <c r="Q75" s="8" t="s">
        <v>306</v>
      </c>
    </row>
    <row r="76" spans="1:17" x14ac:dyDescent="0.2">
      <c r="A76" s="4" t="s">
        <v>226</v>
      </c>
      <c r="B76" s="8" t="s">
        <v>227</v>
      </c>
      <c r="C76" s="8" t="s">
        <v>200</v>
      </c>
      <c r="D76" s="8" t="s">
        <v>305</v>
      </c>
      <c r="E76" s="9">
        <v>22291</v>
      </c>
      <c r="F76" s="9">
        <v>44161</v>
      </c>
      <c r="G76" s="9">
        <v>66100</v>
      </c>
      <c r="H76" s="9">
        <v>88136</v>
      </c>
      <c r="I76" s="9">
        <v>24667</v>
      </c>
      <c r="J76" s="9">
        <v>48775</v>
      </c>
      <c r="K76" s="9">
        <v>74599</v>
      </c>
      <c r="L76" s="9">
        <v>101832</v>
      </c>
      <c r="M76" s="9">
        <v>27747</v>
      </c>
      <c r="N76" s="9">
        <v>66205</v>
      </c>
      <c r="O76" s="9">
        <v>97983</v>
      </c>
      <c r="P76" s="9">
        <v>133749</v>
      </c>
      <c r="Q76" s="8" t="s">
        <v>306</v>
      </c>
    </row>
    <row r="80" spans="1:17" x14ac:dyDescent="0.2">
      <c r="A80" s="4" t="s">
        <v>307</v>
      </c>
    </row>
    <row r="81" spans="1:9" x14ac:dyDescent="0.2">
      <c r="A81" s="7" t="s">
        <v>182</v>
      </c>
      <c r="B81" s="7" t="s">
        <v>308</v>
      </c>
      <c r="C81" s="7" t="s">
        <v>46</v>
      </c>
      <c r="D81" s="7" t="s">
        <v>309</v>
      </c>
      <c r="E81" s="7" t="s">
        <v>310</v>
      </c>
      <c r="F81" s="7" t="s">
        <v>311</v>
      </c>
      <c r="G81" s="7" t="s">
        <v>312</v>
      </c>
      <c r="H81" s="7" t="s">
        <v>197</v>
      </c>
      <c r="I81" s="7" t="s">
        <v>313</v>
      </c>
    </row>
    <row r="82" spans="1:9" x14ac:dyDescent="0.2">
      <c r="A82" s="4" t="s">
        <v>314</v>
      </c>
      <c r="B82" s="8" t="s">
        <v>315</v>
      </c>
      <c r="C82" s="8" t="s">
        <v>200</v>
      </c>
      <c r="E82" s="9">
        <v>245122</v>
      </c>
      <c r="F82" s="9">
        <v>281724</v>
      </c>
      <c r="G82" s="9">
        <v>331839</v>
      </c>
      <c r="H82" s="8" t="s">
        <v>135</v>
      </c>
      <c r="I82" s="8" t="s">
        <v>316</v>
      </c>
    </row>
    <row r="83" spans="1:9" x14ac:dyDescent="0.2">
      <c r="A83" s="4" t="s">
        <v>317</v>
      </c>
      <c r="B83" s="8" t="s">
        <v>318</v>
      </c>
      <c r="C83" s="8" t="s">
        <v>200</v>
      </c>
      <c r="E83" s="9">
        <v>109433</v>
      </c>
      <c r="F83" s="9">
        <v>128528</v>
      </c>
      <c r="G83" s="9">
        <v>155237</v>
      </c>
      <c r="H83" s="8" t="s">
        <v>135</v>
      </c>
      <c r="I83" s="8" t="s">
        <v>316</v>
      </c>
    </row>
    <row r="84" spans="1:9" x14ac:dyDescent="0.2">
      <c r="A84" s="4" t="s">
        <v>319</v>
      </c>
      <c r="B84" s="8" t="s">
        <v>320</v>
      </c>
      <c r="C84" s="8" t="s">
        <v>200</v>
      </c>
      <c r="E84" s="9">
        <v>88136</v>
      </c>
      <c r="F84" s="9">
        <v>101832</v>
      </c>
      <c r="G84" s="9">
        <v>133749</v>
      </c>
      <c r="H84" s="8" t="s">
        <v>135</v>
      </c>
      <c r="I84" s="8" t="s">
        <v>316</v>
      </c>
    </row>
    <row r="85" spans="1:9" x14ac:dyDescent="0.2">
      <c r="A85" s="4" t="s">
        <v>321</v>
      </c>
      <c r="B85" s="8" t="s">
        <v>322</v>
      </c>
      <c r="C85" s="8" t="s">
        <v>200</v>
      </c>
      <c r="E85" s="9">
        <v>118548</v>
      </c>
      <c r="F85" s="9">
        <v>136162</v>
      </c>
      <c r="G85" s="9">
        <v>182935</v>
      </c>
      <c r="H85" s="8" t="s">
        <v>135</v>
      </c>
      <c r="I85" s="8" t="s">
        <v>323</v>
      </c>
    </row>
    <row r="86" spans="1:9" x14ac:dyDescent="0.2">
      <c r="A86" s="4" t="s">
        <v>324</v>
      </c>
      <c r="B86" s="8" t="s">
        <v>325</v>
      </c>
      <c r="C86" s="8" t="s">
        <v>200</v>
      </c>
      <c r="E86" s="9">
        <v>-44477</v>
      </c>
      <c r="F86" s="9">
        <v>-64551</v>
      </c>
      <c r="G86" s="9">
        <v>-115948</v>
      </c>
      <c r="H86" s="8" t="s">
        <v>135</v>
      </c>
      <c r="I86" s="8" t="s">
        <v>323</v>
      </c>
    </row>
    <row r="87" spans="1:9" x14ac:dyDescent="0.2">
      <c r="A87" s="4" t="s">
        <v>326</v>
      </c>
      <c r="B87" s="8" t="s">
        <v>327</v>
      </c>
      <c r="C87" s="8" t="s">
        <v>200</v>
      </c>
      <c r="E87" s="9">
        <v>20958</v>
      </c>
      <c r="F87" s="9">
        <v>29433</v>
      </c>
      <c r="G87" s="9">
        <v>38534</v>
      </c>
      <c r="H87" s="8" t="s">
        <v>135</v>
      </c>
      <c r="I87" s="8" t="s">
        <v>328</v>
      </c>
    </row>
    <row r="88" spans="1:9" x14ac:dyDescent="0.2">
      <c r="A88" s="4" t="s">
        <v>329</v>
      </c>
      <c r="B88" s="8" t="s">
        <v>330</v>
      </c>
      <c r="C88" s="8" t="s">
        <v>200</v>
      </c>
      <c r="E88" s="9">
        <v>15200</v>
      </c>
      <c r="F88" s="9">
        <v>22000</v>
      </c>
      <c r="G88" s="9">
        <v>34300</v>
      </c>
      <c r="H88" s="8" t="s">
        <v>135</v>
      </c>
      <c r="I88" s="8" t="s">
        <v>331</v>
      </c>
    </row>
    <row r="89" spans="1:9" x14ac:dyDescent="0.2">
      <c r="A89" s="4" t="s">
        <v>332</v>
      </c>
      <c r="B89" s="8" t="s">
        <v>333</v>
      </c>
      <c r="C89" s="8" t="s">
        <v>200</v>
      </c>
      <c r="E89" s="9">
        <v>11633</v>
      </c>
      <c r="F89" s="9">
        <v>20511</v>
      </c>
      <c r="G89" s="9">
        <v>24608</v>
      </c>
      <c r="H89" s="8" t="s">
        <v>135</v>
      </c>
      <c r="I89" s="8" t="s">
        <v>334</v>
      </c>
    </row>
    <row r="90" spans="1:9" x14ac:dyDescent="0.2">
      <c r="A90" s="4" t="s">
        <v>335</v>
      </c>
      <c r="B90" s="8" t="s">
        <v>336</v>
      </c>
      <c r="C90" s="8" t="s">
        <v>200</v>
      </c>
      <c r="E90" s="9">
        <v>6703</v>
      </c>
      <c r="F90" s="9">
        <v>7826</v>
      </c>
      <c r="G90" s="9">
        <v>4555</v>
      </c>
      <c r="H90" s="8" t="s">
        <v>135</v>
      </c>
      <c r="I90" s="8" t="s">
        <v>334</v>
      </c>
    </row>
    <row r="91" spans="1:9" x14ac:dyDescent="0.2">
      <c r="A91" s="4" t="s">
        <v>337</v>
      </c>
      <c r="B91" s="8" t="s">
        <v>338</v>
      </c>
      <c r="C91" s="8" t="s">
        <v>200</v>
      </c>
      <c r="E91" s="9">
        <v>1286</v>
      </c>
      <c r="F91" s="9">
        <v>2283</v>
      </c>
      <c r="G91" s="9">
        <v>3101</v>
      </c>
      <c r="H91" s="8" t="s">
        <v>135</v>
      </c>
      <c r="I91" s="8" t="s">
        <v>334</v>
      </c>
    </row>
    <row r="92" spans="1:9" x14ac:dyDescent="0.2">
      <c r="A92" s="4" t="s">
        <v>339</v>
      </c>
      <c r="B92" s="8" t="s">
        <v>340</v>
      </c>
      <c r="C92" s="8" t="s">
        <v>200</v>
      </c>
      <c r="E92" s="9">
        <v>734</v>
      </c>
      <c r="F92" s="9">
        <v>1372</v>
      </c>
      <c r="G92" s="9">
        <v>2547</v>
      </c>
      <c r="H92" s="8" t="s">
        <v>135</v>
      </c>
      <c r="I92" s="8" t="s">
        <v>334</v>
      </c>
    </row>
    <row r="93" spans="1:9" x14ac:dyDescent="0.2">
      <c r="A93" s="4" t="s">
        <v>341</v>
      </c>
      <c r="B93" s="8" t="s">
        <v>342</v>
      </c>
      <c r="C93" s="8" t="s">
        <v>200</v>
      </c>
      <c r="E93" s="9">
        <v>3550</v>
      </c>
      <c r="F93" s="9">
        <v>4931</v>
      </c>
      <c r="G93" s="9">
        <v>6443</v>
      </c>
      <c r="H93" s="8" t="s">
        <v>135</v>
      </c>
      <c r="I93" s="8" t="s">
        <v>334</v>
      </c>
    </row>
    <row r="94" spans="1:9" x14ac:dyDescent="0.2">
      <c r="A94" s="4" t="s">
        <v>343</v>
      </c>
      <c r="B94" s="8" t="s">
        <v>344</v>
      </c>
      <c r="C94" s="8" t="s">
        <v>200</v>
      </c>
      <c r="E94" s="9">
        <v>4300</v>
      </c>
      <c r="F94" s="9">
        <v>6900</v>
      </c>
      <c r="G94" s="9">
        <v>26700</v>
      </c>
      <c r="H94" s="8" t="s">
        <v>135</v>
      </c>
      <c r="I94" s="8" t="s">
        <v>331</v>
      </c>
    </row>
    <row r="95" spans="1:9" x14ac:dyDescent="0.2">
      <c r="A95" s="4" t="s">
        <v>345</v>
      </c>
      <c r="B95" s="8" t="s">
        <v>346</v>
      </c>
      <c r="C95" s="8" t="s">
        <v>200</v>
      </c>
      <c r="D95" s="9">
        <v>95641</v>
      </c>
      <c r="E95" s="9">
        <v>135591</v>
      </c>
      <c r="F95" s="9">
        <v>204966</v>
      </c>
      <c r="G95" s="9">
        <v>313076</v>
      </c>
      <c r="H95" s="8" t="s">
        <v>347</v>
      </c>
      <c r="I95" s="8" t="s">
        <v>348</v>
      </c>
    </row>
    <row r="96" spans="1:9" x14ac:dyDescent="0.2">
      <c r="A96" s="4" t="s">
        <v>349</v>
      </c>
      <c r="B96" s="8" t="s">
        <v>350</v>
      </c>
      <c r="C96" s="8" t="s">
        <v>200</v>
      </c>
      <c r="D96" s="9">
        <v>68251</v>
      </c>
      <c r="E96" s="9">
        <v>76421</v>
      </c>
      <c r="F96" s="9">
        <v>93653</v>
      </c>
      <c r="G96" s="9">
        <v>118691</v>
      </c>
      <c r="H96" s="8" t="s">
        <v>347</v>
      </c>
      <c r="I96" s="8" t="s">
        <v>351</v>
      </c>
    </row>
    <row r="97" spans="1:9" x14ac:dyDescent="0.2">
      <c r="A97" s="4" t="s">
        <v>352</v>
      </c>
      <c r="B97" s="8" t="s">
        <v>353</v>
      </c>
      <c r="C97" s="8" t="s">
        <v>200</v>
      </c>
      <c r="F97" s="9">
        <v>9338</v>
      </c>
      <c r="G97" s="9">
        <v>10546</v>
      </c>
      <c r="H97" s="8" t="s">
        <v>135</v>
      </c>
      <c r="I97" s="8" t="s">
        <v>331</v>
      </c>
    </row>
    <row r="98" spans="1:9" x14ac:dyDescent="0.2">
      <c r="A98" s="4" t="s">
        <v>354</v>
      </c>
      <c r="B98" s="8" t="s">
        <v>355</v>
      </c>
      <c r="C98" s="8" t="s">
        <v>200</v>
      </c>
      <c r="F98" s="9">
        <v>137921</v>
      </c>
      <c r="G98" s="9">
        <v>182749</v>
      </c>
      <c r="H98" s="8" t="s">
        <v>135</v>
      </c>
      <c r="I98" s="8" t="s">
        <v>331</v>
      </c>
    </row>
    <row r="99" spans="1:9" x14ac:dyDescent="0.2">
      <c r="A99" s="4" t="s">
        <v>356</v>
      </c>
      <c r="B99" s="8" t="s">
        <v>357</v>
      </c>
      <c r="C99" s="8" t="s">
        <v>200</v>
      </c>
      <c r="F99" s="9">
        <v>12117</v>
      </c>
      <c r="G99" s="9">
        <v>16348</v>
      </c>
      <c r="H99" s="8" t="s">
        <v>135</v>
      </c>
      <c r="I99" s="8" t="s">
        <v>331</v>
      </c>
    </row>
    <row r="100" spans="1:9" x14ac:dyDescent="0.2">
      <c r="A100" s="4" t="s">
        <v>358</v>
      </c>
      <c r="B100" s="8" t="s">
        <v>359</v>
      </c>
      <c r="C100" s="8" t="s">
        <v>200</v>
      </c>
      <c r="F100" s="9">
        <v>132836</v>
      </c>
      <c r="G100" s="9">
        <v>215874</v>
      </c>
      <c r="H100" s="8" t="s">
        <v>135</v>
      </c>
      <c r="I100" s="8" t="s">
        <v>331</v>
      </c>
    </row>
    <row r="101" spans="1:9" x14ac:dyDescent="0.2">
      <c r="A101" s="4" t="s">
        <v>360</v>
      </c>
      <c r="B101" s="8" t="s">
        <v>361</v>
      </c>
      <c r="C101" s="8" t="s">
        <v>200</v>
      </c>
      <c r="F101" s="9">
        <v>6407</v>
      </c>
      <c r="G101" s="9">
        <v>6250</v>
      </c>
      <c r="H101" s="8" t="s">
        <v>135</v>
      </c>
      <c r="I101" s="8" t="s">
        <v>331</v>
      </c>
    </row>
    <row r="102" spans="1:9" x14ac:dyDescent="0.2">
      <c r="A102" s="4" t="s">
        <v>362</v>
      </c>
      <c r="B102" s="8" t="s">
        <v>363</v>
      </c>
      <c r="C102" s="8" t="s">
        <v>200</v>
      </c>
      <c r="F102" s="9">
        <v>298619</v>
      </c>
      <c r="G102" s="9">
        <v>431767</v>
      </c>
      <c r="H102" s="8" t="s">
        <v>135</v>
      </c>
      <c r="I102" s="8" t="s">
        <v>331</v>
      </c>
    </row>
    <row r="103" spans="1:9" x14ac:dyDescent="0.2">
      <c r="A103" s="4" t="s">
        <v>364</v>
      </c>
      <c r="B103" s="8" t="s">
        <v>365</v>
      </c>
      <c r="C103" s="8" t="s">
        <v>200</v>
      </c>
      <c r="F103" s="9">
        <v>53876</v>
      </c>
      <c r="G103" s="9">
        <v>82712</v>
      </c>
      <c r="H103" s="8" t="s">
        <v>135</v>
      </c>
      <c r="I103" s="8" t="s">
        <v>366</v>
      </c>
    </row>
    <row r="104" spans="1:9" x14ac:dyDescent="0.2">
      <c r="A104" s="4" t="s">
        <v>367</v>
      </c>
      <c r="B104" s="8" t="s">
        <v>368</v>
      </c>
      <c r="C104" s="8" t="s">
        <v>200</v>
      </c>
      <c r="F104" s="9">
        <v>9861</v>
      </c>
      <c r="G104" s="9">
        <v>15431</v>
      </c>
      <c r="H104" s="8" t="s">
        <v>135</v>
      </c>
      <c r="I104" s="8" t="s">
        <v>366</v>
      </c>
    </row>
    <row r="105" spans="1:9" x14ac:dyDescent="0.2">
      <c r="A105" s="4" t="s">
        <v>369</v>
      </c>
      <c r="B105" s="8" t="s">
        <v>370</v>
      </c>
      <c r="C105" s="8" t="s">
        <v>200</v>
      </c>
      <c r="G105" s="9">
        <v>329100</v>
      </c>
      <c r="H105" s="8" t="s">
        <v>135</v>
      </c>
      <c r="I105" s="8" t="s">
        <v>371</v>
      </c>
    </row>
    <row r="106" spans="1:9" x14ac:dyDescent="0.2">
      <c r="A106" s="4" t="s">
        <v>372</v>
      </c>
      <c r="B106" s="8" t="s">
        <v>373</v>
      </c>
      <c r="C106" s="8" t="s">
        <v>200</v>
      </c>
      <c r="G106" s="9">
        <v>34600</v>
      </c>
      <c r="H106" s="8" t="s">
        <v>135</v>
      </c>
      <c r="I106" s="8" t="s">
        <v>331</v>
      </c>
    </row>
    <row r="110" spans="1:9" x14ac:dyDescent="0.2">
      <c r="A110" s="4" t="s">
        <v>374</v>
      </c>
    </row>
    <row r="111" spans="1:9" x14ac:dyDescent="0.2">
      <c r="A111" s="7" t="s">
        <v>375</v>
      </c>
      <c r="B111" s="7" t="s">
        <v>376</v>
      </c>
      <c r="C111" s="7" t="s">
        <v>377</v>
      </c>
      <c r="D111" s="7" t="s">
        <v>378</v>
      </c>
      <c r="E111" s="7" t="s">
        <v>379</v>
      </c>
      <c r="F111" s="7" t="s">
        <v>46</v>
      </c>
      <c r="G111" s="7" t="s">
        <v>380</v>
      </c>
      <c r="H111" s="7" t="s">
        <v>381</v>
      </c>
      <c r="I111" s="7" t="s">
        <v>197</v>
      </c>
    </row>
    <row r="112" spans="1:9" x14ac:dyDescent="0.2">
      <c r="A112" s="4" t="s">
        <v>382</v>
      </c>
      <c r="B112" s="8" t="s">
        <v>383</v>
      </c>
      <c r="C112" s="8" t="s">
        <v>384</v>
      </c>
      <c r="D112" s="12">
        <v>0.1</v>
      </c>
      <c r="F112" s="8" t="s">
        <v>385</v>
      </c>
      <c r="G112" s="8" t="s">
        <v>386</v>
      </c>
      <c r="H112" s="8" t="s">
        <v>387</v>
      </c>
      <c r="I112" s="8" t="s">
        <v>157</v>
      </c>
    </row>
    <row r="113" spans="1:9" x14ac:dyDescent="0.2">
      <c r="A113" s="4" t="s">
        <v>388</v>
      </c>
      <c r="B113" s="8" t="s">
        <v>383</v>
      </c>
      <c r="C113" s="8" t="s">
        <v>389</v>
      </c>
      <c r="D113" s="12">
        <v>0.1</v>
      </c>
      <c r="F113" s="8" t="s">
        <v>385</v>
      </c>
      <c r="G113" s="8" t="s">
        <v>390</v>
      </c>
      <c r="H113" s="8" t="s">
        <v>387</v>
      </c>
      <c r="I113" s="8" t="s">
        <v>157</v>
      </c>
    </row>
    <row r="114" spans="1:9" x14ac:dyDescent="0.2">
      <c r="A114" s="4" t="s">
        <v>391</v>
      </c>
      <c r="B114" s="8" t="s">
        <v>383</v>
      </c>
      <c r="C114" s="8" t="s">
        <v>392</v>
      </c>
      <c r="D114" s="12">
        <v>0.04</v>
      </c>
      <c r="E114" s="12">
        <v>0.09</v>
      </c>
      <c r="F114" s="8" t="s">
        <v>385</v>
      </c>
      <c r="G114" s="8" t="s">
        <v>393</v>
      </c>
      <c r="H114" s="8" t="s">
        <v>394</v>
      </c>
      <c r="I114" s="8" t="s">
        <v>157</v>
      </c>
    </row>
    <row r="115" spans="1:9" x14ac:dyDescent="0.2">
      <c r="A115" s="4" t="s">
        <v>395</v>
      </c>
      <c r="B115" s="8" t="s">
        <v>383</v>
      </c>
      <c r="C115" s="8" t="s">
        <v>396</v>
      </c>
      <c r="D115" s="12">
        <v>-0.01</v>
      </c>
      <c r="F115" s="8" t="s">
        <v>385</v>
      </c>
      <c r="G115" s="8" t="s">
        <v>397</v>
      </c>
      <c r="H115" s="8" t="s">
        <v>398</v>
      </c>
      <c r="I115" s="8" t="s">
        <v>157</v>
      </c>
    </row>
    <row r="116" spans="1:9" x14ac:dyDescent="0.2">
      <c r="A116" s="4" t="s">
        <v>399</v>
      </c>
      <c r="B116" s="8" t="s">
        <v>383</v>
      </c>
      <c r="C116" s="8" t="s">
        <v>400</v>
      </c>
      <c r="F116" s="8" t="s">
        <v>401</v>
      </c>
      <c r="G116" s="8" t="s">
        <v>402</v>
      </c>
      <c r="H116" s="8" t="s">
        <v>403</v>
      </c>
      <c r="I116" s="8" t="s">
        <v>157</v>
      </c>
    </row>
    <row r="117" spans="1:9" x14ac:dyDescent="0.2">
      <c r="A117" s="4" t="s">
        <v>404</v>
      </c>
      <c r="B117" s="8" t="s">
        <v>383</v>
      </c>
      <c r="C117" s="8" t="s">
        <v>405</v>
      </c>
      <c r="D117" s="9">
        <v>0</v>
      </c>
      <c r="F117" s="8" t="s">
        <v>200</v>
      </c>
      <c r="G117" s="8" t="s">
        <v>406</v>
      </c>
      <c r="H117" s="8" t="s">
        <v>398</v>
      </c>
      <c r="I117" s="8" t="s">
        <v>157</v>
      </c>
    </row>
    <row r="118" spans="1:9" x14ac:dyDescent="0.2">
      <c r="A118" s="4" t="s">
        <v>407</v>
      </c>
      <c r="B118" s="8" t="s">
        <v>383</v>
      </c>
      <c r="C118" s="8" t="s">
        <v>408</v>
      </c>
      <c r="D118" s="12">
        <v>0.2</v>
      </c>
      <c r="E118" s="12">
        <v>0.2</v>
      </c>
      <c r="F118" s="8" t="s">
        <v>385</v>
      </c>
      <c r="G118" s="8" t="s">
        <v>409</v>
      </c>
      <c r="H118" s="8" t="s">
        <v>398</v>
      </c>
      <c r="I118" s="8" t="s">
        <v>157</v>
      </c>
    </row>
    <row r="119" spans="1:9" x14ac:dyDescent="0.2">
      <c r="A119" s="4" t="s">
        <v>410</v>
      </c>
      <c r="B119" s="8" t="s">
        <v>411</v>
      </c>
      <c r="C119" s="8" t="s">
        <v>412</v>
      </c>
      <c r="D119" s="9">
        <v>175000</v>
      </c>
      <c r="E119" s="9">
        <v>175000</v>
      </c>
      <c r="F119" s="8" t="s">
        <v>200</v>
      </c>
      <c r="G119" s="8" t="s">
        <v>413</v>
      </c>
      <c r="H119" s="8" t="s">
        <v>398</v>
      </c>
      <c r="I119" s="8" t="s">
        <v>157</v>
      </c>
    </row>
    <row r="120" spans="1:9" x14ac:dyDescent="0.2">
      <c r="A120" s="4" t="s">
        <v>414</v>
      </c>
      <c r="B120" s="8" t="s">
        <v>415</v>
      </c>
      <c r="C120" s="8" t="s">
        <v>416</v>
      </c>
      <c r="D120" s="9">
        <v>36700</v>
      </c>
      <c r="E120" s="9">
        <v>37000</v>
      </c>
      <c r="F120" s="8" t="s">
        <v>200</v>
      </c>
      <c r="G120" s="8" t="s">
        <v>417</v>
      </c>
      <c r="H120" s="8" t="s">
        <v>398</v>
      </c>
      <c r="I120" s="8" t="s">
        <v>157</v>
      </c>
    </row>
    <row r="121" spans="1:9" x14ac:dyDescent="0.2">
      <c r="A121" s="4" t="s">
        <v>418</v>
      </c>
      <c r="B121" s="8" t="s">
        <v>415</v>
      </c>
      <c r="C121" s="8" t="s">
        <v>419</v>
      </c>
      <c r="D121" s="9">
        <v>40950</v>
      </c>
      <c r="E121" s="9">
        <v>41250</v>
      </c>
      <c r="F121" s="8" t="s">
        <v>200</v>
      </c>
      <c r="G121" s="8" t="s">
        <v>420</v>
      </c>
      <c r="H121" s="8" t="s">
        <v>398</v>
      </c>
      <c r="I121" s="8" t="s">
        <v>157</v>
      </c>
    </row>
    <row r="122" spans="1:9" x14ac:dyDescent="0.2">
      <c r="A122" s="4" t="s">
        <v>421</v>
      </c>
      <c r="B122" s="8" t="s">
        <v>415</v>
      </c>
      <c r="C122" s="8" t="s">
        <v>422</v>
      </c>
      <c r="D122" s="9">
        <v>12200</v>
      </c>
      <c r="E122" s="9">
        <v>12700</v>
      </c>
      <c r="F122" s="8" t="s">
        <v>200</v>
      </c>
      <c r="G122" s="8" t="s">
        <v>423</v>
      </c>
      <c r="H122" s="8" t="s">
        <v>398</v>
      </c>
      <c r="I122" s="8" t="s">
        <v>157</v>
      </c>
    </row>
    <row r="123" spans="1:9" x14ac:dyDescent="0.2">
      <c r="A123" s="4" t="s">
        <v>424</v>
      </c>
      <c r="B123" s="8" t="s">
        <v>415</v>
      </c>
      <c r="C123" s="8" t="s">
        <v>425</v>
      </c>
      <c r="D123" s="9">
        <v>29600</v>
      </c>
      <c r="E123" s="9">
        <v>29800</v>
      </c>
      <c r="F123" s="8" t="s">
        <v>200</v>
      </c>
      <c r="G123" s="8" t="s">
        <v>426</v>
      </c>
      <c r="H123" s="8" t="s">
        <v>398</v>
      </c>
      <c r="I123" s="8" t="s">
        <v>157</v>
      </c>
    </row>
    <row r="124" spans="1:9" x14ac:dyDescent="0.2">
      <c r="A124" s="4" t="s">
        <v>427</v>
      </c>
      <c r="B124" s="8" t="s">
        <v>415</v>
      </c>
      <c r="C124" s="8" t="s">
        <v>428</v>
      </c>
      <c r="D124" s="9">
        <v>16800</v>
      </c>
      <c r="E124" s="9">
        <v>16900</v>
      </c>
      <c r="F124" s="8" t="s">
        <v>200</v>
      </c>
      <c r="G124" s="8" t="s">
        <v>429</v>
      </c>
      <c r="H124" s="8" t="s">
        <v>398</v>
      </c>
      <c r="I124" s="8" t="s">
        <v>157</v>
      </c>
    </row>
    <row r="125" spans="1:9" x14ac:dyDescent="0.2">
      <c r="A125" s="4" t="s">
        <v>430</v>
      </c>
      <c r="B125" s="8" t="s">
        <v>415</v>
      </c>
      <c r="C125" s="8" t="s">
        <v>412</v>
      </c>
      <c r="D125" s="9">
        <v>50000</v>
      </c>
      <c r="F125" s="8" t="s">
        <v>200</v>
      </c>
      <c r="G125" s="8" t="s">
        <v>431</v>
      </c>
      <c r="H125" s="8" t="s">
        <v>432</v>
      </c>
      <c r="I125" s="8" t="s">
        <v>157</v>
      </c>
    </row>
    <row r="126" spans="1:9" x14ac:dyDescent="0.2">
      <c r="A126" s="4" t="s">
        <v>433</v>
      </c>
      <c r="B126" s="8" t="s">
        <v>415</v>
      </c>
      <c r="C126" s="8" t="s">
        <v>434</v>
      </c>
      <c r="D126" s="9">
        <v>-100</v>
      </c>
      <c r="E126" s="9">
        <v>-100</v>
      </c>
      <c r="F126" s="8" t="s">
        <v>200</v>
      </c>
      <c r="G126" s="8" t="s">
        <v>435</v>
      </c>
      <c r="H126" s="8" t="s">
        <v>398</v>
      </c>
      <c r="I126" s="8" t="s">
        <v>157</v>
      </c>
    </row>
    <row r="127" spans="1:9" x14ac:dyDescent="0.2">
      <c r="A127" s="4" t="s">
        <v>436</v>
      </c>
      <c r="B127" s="8" t="s">
        <v>383</v>
      </c>
      <c r="C127" s="8" t="s">
        <v>437</v>
      </c>
      <c r="D127" s="13">
        <v>25</v>
      </c>
      <c r="E127" s="13">
        <v>25</v>
      </c>
      <c r="F127" s="8" t="s">
        <v>438</v>
      </c>
      <c r="G127" s="8" t="s">
        <v>439</v>
      </c>
      <c r="H127" s="8" t="s">
        <v>398</v>
      </c>
      <c r="I127" s="8" t="s">
        <v>157</v>
      </c>
    </row>
    <row r="131" spans="1:7" x14ac:dyDescent="0.2">
      <c r="A131" s="4" t="s">
        <v>440</v>
      </c>
    </row>
    <row r="132" spans="1:7" x14ac:dyDescent="0.2">
      <c r="A132" s="7" t="s">
        <v>375</v>
      </c>
      <c r="B132" s="7" t="s">
        <v>376</v>
      </c>
      <c r="C132" s="7" t="s">
        <v>308</v>
      </c>
      <c r="D132" s="7" t="s">
        <v>441</v>
      </c>
      <c r="E132" s="7" t="s">
        <v>46</v>
      </c>
      <c r="F132" s="7" t="s">
        <v>197</v>
      </c>
      <c r="G132" s="7" t="s">
        <v>313</v>
      </c>
    </row>
    <row r="133" spans="1:7" x14ac:dyDescent="0.2">
      <c r="A133" s="4" t="s">
        <v>442</v>
      </c>
      <c r="B133" s="8" t="s">
        <v>196</v>
      </c>
      <c r="C133" s="8" t="s">
        <v>443</v>
      </c>
      <c r="D133" s="9">
        <v>41000</v>
      </c>
      <c r="E133" s="8" t="s">
        <v>200</v>
      </c>
      <c r="F133" s="8" t="s">
        <v>157</v>
      </c>
      <c r="G133" s="8" t="s">
        <v>444</v>
      </c>
    </row>
    <row r="134" spans="1:7" x14ac:dyDescent="0.2">
      <c r="A134" s="4" t="s">
        <v>445</v>
      </c>
      <c r="B134" s="8" t="s">
        <v>196</v>
      </c>
      <c r="C134" s="8" t="s">
        <v>446</v>
      </c>
      <c r="D134" s="9">
        <v>5600</v>
      </c>
      <c r="E134" s="8" t="s">
        <v>200</v>
      </c>
      <c r="F134" s="8" t="s">
        <v>157</v>
      </c>
      <c r="G134" s="8" t="s">
        <v>447</v>
      </c>
    </row>
    <row r="135" spans="1:7" x14ac:dyDescent="0.2">
      <c r="A135" s="4" t="s">
        <v>448</v>
      </c>
      <c r="B135" s="8" t="s">
        <v>196</v>
      </c>
      <c r="C135" s="8" t="s">
        <v>449</v>
      </c>
      <c r="D135" s="9">
        <v>35800</v>
      </c>
      <c r="E135" s="8" t="s">
        <v>200</v>
      </c>
      <c r="F135" s="8" t="s">
        <v>157</v>
      </c>
      <c r="G135" s="8" t="s">
        <v>450</v>
      </c>
    </row>
    <row r="136" spans="1:7" x14ac:dyDescent="0.2">
      <c r="A136" s="4" t="s">
        <v>451</v>
      </c>
      <c r="B136" s="8" t="s">
        <v>196</v>
      </c>
      <c r="C136" s="8" t="s">
        <v>452</v>
      </c>
      <c r="D136" s="9">
        <v>19600</v>
      </c>
      <c r="E136" s="8" t="s">
        <v>200</v>
      </c>
      <c r="F136" s="8" t="s">
        <v>157</v>
      </c>
      <c r="G136" s="8" t="s">
        <v>453</v>
      </c>
    </row>
    <row r="137" spans="1:7" x14ac:dyDescent="0.2">
      <c r="A137" s="4" t="s">
        <v>454</v>
      </c>
      <c r="B137" s="8" t="s">
        <v>196</v>
      </c>
      <c r="C137" s="8" t="s">
        <v>455</v>
      </c>
      <c r="D137" s="12">
        <v>0.66700000000000004</v>
      </c>
      <c r="E137" s="8" t="s">
        <v>385</v>
      </c>
      <c r="F137" s="8" t="s">
        <v>157</v>
      </c>
      <c r="G137" s="8" t="s">
        <v>456</v>
      </c>
    </row>
  </sheetData>
  <pageMargins left="0.75" right="0.75" top="1" bottom="1" header="0.5" footer="0.5"/>
  <pageSetup fitToHeight="0" orientation="landscape"/>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48"/>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9" customWidth="1"/>
    <col min="2" max="2" width="52" customWidth="1"/>
    <col min="3" max="10" width="16" customWidth="1"/>
  </cols>
  <sheetData>
    <row r="1" spans="1:9" ht="19" x14ac:dyDescent="0.25">
      <c r="A1" s="1" t="s">
        <v>457</v>
      </c>
    </row>
    <row r="2" spans="1:9" x14ac:dyDescent="0.2">
      <c r="A2" s="2" t="s">
        <v>458</v>
      </c>
    </row>
    <row r="3" spans="1:9" x14ac:dyDescent="0.2">
      <c r="A3" s="3" t="s">
        <v>459</v>
      </c>
    </row>
    <row r="5" spans="1:9" x14ac:dyDescent="0.2">
      <c r="A5" s="4" t="s">
        <v>259</v>
      </c>
    </row>
    <row r="6" spans="1:9" ht="30" x14ac:dyDescent="0.2">
      <c r="A6" s="7" t="s">
        <v>182</v>
      </c>
      <c r="B6" s="7" t="s">
        <v>255</v>
      </c>
      <c r="C6" s="7" t="s">
        <v>460</v>
      </c>
      <c r="D6" s="7" t="s">
        <v>461</v>
      </c>
      <c r="E6" s="7" t="s">
        <v>462</v>
      </c>
      <c r="F6" s="7" t="s">
        <v>463</v>
      </c>
      <c r="G6" s="7" t="s">
        <v>464</v>
      </c>
      <c r="H6" s="7" t="s">
        <v>465</v>
      </c>
      <c r="I6" s="7" t="s">
        <v>466</v>
      </c>
    </row>
    <row r="7" spans="1:9" x14ac:dyDescent="0.2">
      <c r="A7" s="8" t="s">
        <v>467</v>
      </c>
      <c r="B7" s="8" t="s">
        <v>258</v>
      </c>
      <c r="C7" s="14">
        <f>SUM(INDEX(tblSeg[[Q1 FY24]:[Q4 FY24]],MATCH("PBP_REV",tblSeg[Code],0),0))</f>
        <v>106820</v>
      </c>
      <c r="D7" s="14">
        <f>SUM(INDEX(tblSeg[[Q1 FY25]:[Q4 FY25]],MATCH("PBP_REV",tblSeg[Code],0),0))</f>
        <v>120810</v>
      </c>
      <c r="E7" s="14">
        <f>SUM(INDEX(tblSeg[[Q1 FY26]:[Q4 FY26]],MATCH("PBP_REV",tblSeg[Code],0),0))</f>
        <v>139996</v>
      </c>
      <c r="F7" s="15">
        <f t="shared" ref="F7:G10" si="0">D7/C7-1</f>
        <v>0.13096798352368477</v>
      </c>
      <c r="G7" s="15">
        <f t="shared" si="0"/>
        <v>0.15881135667577184</v>
      </c>
      <c r="H7" s="15">
        <f>E7/E$10</f>
        <v>0.42187928483391041</v>
      </c>
      <c r="I7" s="16">
        <f>(E7-D7)/D$10</f>
        <v>6.8102114125882074E-2</v>
      </c>
    </row>
    <row r="8" spans="1:9" x14ac:dyDescent="0.2">
      <c r="A8" s="8" t="s">
        <v>468</v>
      </c>
      <c r="B8" s="8" t="s">
        <v>267</v>
      </c>
      <c r="C8" s="14">
        <f>SUM(INDEX(tblSeg[[Q1 FY24]:[Q4 FY24]],MATCH("IC_REV",tblSeg[Code],0),0))</f>
        <v>87464</v>
      </c>
      <c r="D8" s="14">
        <f>SUM(INDEX(tblSeg[[Q1 FY25]:[Q4 FY25]],MATCH("IC_REV",tblSeg[Code],0),0))</f>
        <v>106265</v>
      </c>
      <c r="E8" s="14">
        <f>SUM(INDEX(tblSeg[[Q1 FY26]:[Q4 FY26]],MATCH("IC_REV",tblSeg[Code],0),0))</f>
        <v>137791</v>
      </c>
      <c r="F8" s="15">
        <f t="shared" si="0"/>
        <v>0.21495701088447827</v>
      </c>
      <c r="G8" s="15">
        <f t="shared" si="0"/>
        <v>0.29667341081259124</v>
      </c>
      <c r="H8" s="15">
        <f>E8/E$10</f>
        <v>0.41523449624667386</v>
      </c>
      <c r="I8" s="16">
        <f>(E8-D8)/D$10</f>
        <v>0.11190384915733129</v>
      </c>
    </row>
    <row r="9" spans="1:9" x14ac:dyDescent="0.2">
      <c r="A9" s="8" t="s">
        <v>469</v>
      </c>
      <c r="B9" s="8" t="s">
        <v>272</v>
      </c>
      <c r="C9" s="14">
        <f>SUM(INDEX(tblSeg[[Q1 FY24]:[Q4 FY24]],MATCH("MPC_REV",tblSeg[Code],0),0))</f>
        <v>50838</v>
      </c>
      <c r="D9" s="14">
        <f>SUM(INDEX(tblSeg[[Q1 FY25]:[Q4 FY25]],MATCH("MPC_REV",tblSeg[Code],0),0))</f>
        <v>54649</v>
      </c>
      <c r="E9" s="14">
        <f>SUM(INDEX(tblSeg[[Q1 FY26]:[Q4 FY26]],MATCH("MPC_REV",tblSeg[Code],0),0))</f>
        <v>54052</v>
      </c>
      <c r="F9" s="15">
        <f t="shared" si="0"/>
        <v>7.4963609898107686E-2</v>
      </c>
      <c r="G9" s="15">
        <f t="shared" si="0"/>
        <v>-1.092426210909625E-2</v>
      </c>
      <c r="H9" s="15">
        <f>E9/E$10</f>
        <v>0.16288621891941574</v>
      </c>
      <c r="I9" s="16">
        <f>(E9-D9)/D$10</f>
        <v>-2.1190952847467736E-3</v>
      </c>
    </row>
    <row r="10" spans="1:9" x14ac:dyDescent="0.2">
      <c r="A10" s="4" t="s">
        <v>470</v>
      </c>
      <c r="B10" s="4" t="s">
        <v>277</v>
      </c>
      <c r="C10" s="14">
        <f>SUM(INDEX(tblSeg[[Q1 FY24]:[Q4 FY24]],MATCH("TOTAL_REV",tblSeg[Code],0),0))</f>
        <v>245122</v>
      </c>
      <c r="D10" s="14">
        <f>SUM(INDEX(tblSeg[[Q1 FY25]:[Q4 FY25]],MATCH("TOTAL_REV",tblSeg[Code],0),0))</f>
        <v>281724</v>
      </c>
      <c r="E10" s="14">
        <f>SUM(INDEX(tblSeg[[Q1 FY26]:[Q4 FY26]],MATCH("TOTAL_REV",tblSeg[Code],0),0))</f>
        <v>331839</v>
      </c>
      <c r="F10" s="15">
        <f t="shared" si="0"/>
        <v>0.14932156232406713</v>
      </c>
      <c r="G10" s="15">
        <f t="shared" si="0"/>
        <v>0.17788686799846665</v>
      </c>
      <c r="H10" s="15">
        <f>E10/E$10</f>
        <v>1</v>
      </c>
      <c r="I10" s="16">
        <f>(E10-D10)/D$10</f>
        <v>0.17788686799846659</v>
      </c>
    </row>
    <row r="13" spans="1:9" x14ac:dyDescent="0.2">
      <c r="A13" s="4" t="s">
        <v>471</v>
      </c>
    </row>
    <row r="14" spans="1:9" ht="30" x14ac:dyDescent="0.2">
      <c r="A14" s="7" t="s">
        <v>182</v>
      </c>
      <c r="B14" s="7" t="s">
        <v>255</v>
      </c>
      <c r="C14" s="7" t="s">
        <v>472</v>
      </c>
      <c r="D14" s="7" t="s">
        <v>461</v>
      </c>
      <c r="E14" s="7" t="s">
        <v>462</v>
      </c>
      <c r="F14" s="7" t="s">
        <v>473</v>
      </c>
      <c r="G14" s="7" t="s">
        <v>474</v>
      </c>
      <c r="H14" s="7" t="s">
        <v>475</v>
      </c>
      <c r="I14" s="7" t="s">
        <v>476</v>
      </c>
    </row>
    <row r="15" spans="1:9" x14ac:dyDescent="0.2">
      <c r="A15" s="8" t="s">
        <v>467</v>
      </c>
      <c r="B15" s="8" t="s">
        <v>258</v>
      </c>
      <c r="C15" s="14">
        <f>SUM(INDEX(tblSeg[[Q1 FY24]:[Q4 FY24]],MATCH("PBP_OI",tblSeg[Code],0),0))</f>
        <v>59661</v>
      </c>
      <c r="D15" s="14">
        <f>SUM(INDEX(tblSeg[[Q1 FY25]:[Q4 FY25]],MATCH("PBP_OI",tblSeg[Code],0),0))</f>
        <v>69773</v>
      </c>
      <c r="E15" s="14">
        <f>SUM(INDEX(tblSeg[[Q1 FY26]:[Q4 FY26]],MATCH("PBP_OI",tblSeg[Code],0),0))</f>
        <v>83879</v>
      </c>
      <c r="F15" s="15">
        <f t="shared" ref="F15:H18" si="1">C15/C7</f>
        <v>0.55851900393184795</v>
      </c>
      <c r="G15" s="15">
        <f t="shared" si="1"/>
        <v>0.57754324973098259</v>
      </c>
      <c r="H15" s="15">
        <f t="shared" si="1"/>
        <v>0.59915283293808397</v>
      </c>
      <c r="I15" s="16">
        <f>H15-G15</f>
        <v>2.1609583207101379E-2</v>
      </c>
    </row>
    <row r="16" spans="1:9" x14ac:dyDescent="0.2">
      <c r="A16" s="8" t="s">
        <v>468</v>
      </c>
      <c r="B16" s="8" t="s">
        <v>267</v>
      </c>
      <c r="C16" s="14">
        <f>SUM(INDEX(tblSeg[[Q1 FY24]:[Q4 FY24]],MATCH("IC_OI",tblSeg[Code],0),0))</f>
        <v>37813</v>
      </c>
      <c r="D16" s="14">
        <f>SUM(INDEX(tblSeg[[Q1 FY25]:[Q4 FY25]],MATCH("IC_OI",tblSeg[Code],0),0))</f>
        <v>44589</v>
      </c>
      <c r="E16" s="14">
        <f>SUM(INDEX(tblSeg[[Q1 FY26]:[Q4 FY26]],MATCH("IC_OI",tblSeg[Code],0),0))</f>
        <v>56972</v>
      </c>
      <c r="F16" s="15">
        <f t="shared" si="1"/>
        <v>0.43232644287935607</v>
      </c>
      <c r="G16" s="15">
        <f t="shared" si="1"/>
        <v>0.41960193854985178</v>
      </c>
      <c r="H16" s="15">
        <f t="shared" si="1"/>
        <v>0.41346677214041555</v>
      </c>
      <c r="I16" s="16">
        <f>H16-G16</f>
        <v>-6.1351664094362324E-3</v>
      </c>
    </row>
    <row r="17" spans="1:9" x14ac:dyDescent="0.2">
      <c r="A17" s="8" t="s">
        <v>469</v>
      </c>
      <c r="B17" s="8" t="s">
        <v>272</v>
      </c>
      <c r="C17" s="14">
        <f>SUM(INDEX(tblSeg[[Q1 FY24]:[Q4 FY24]],MATCH("MPC_OI",tblSeg[Code],0),0))</f>
        <v>11959</v>
      </c>
      <c r="D17" s="14">
        <f>SUM(INDEX(tblSeg[[Q1 FY25]:[Q4 FY25]],MATCH("MPC_OI",tblSeg[Code],0),0))</f>
        <v>14166</v>
      </c>
      <c r="E17" s="14">
        <f>SUM(INDEX(tblSeg[[Q1 FY26]:[Q4 FY26]],MATCH("MPC_OI",tblSeg[Code],0),0))</f>
        <v>14386</v>
      </c>
      <c r="F17" s="15">
        <f t="shared" si="1"/>
        <v>0.23523742082694049</v>
      </c>
      <c r="G17" s="15">
        <f t="shared" si="1"/>
        <v>0.25921791798569049</v>
      </c>
      <c r="H17" s="15">
        <f t="shared" si="1"/>
        <v>0.2661511137423222</v>
      </c>
      <c r="I17" s="16">
        <f>H17-G17</f>
        <v>6.9331957566317048E-3</v>
      </c>
    </row>
    <row r="18" spans="1:9" x14ac:dyDescent="0.2">
      <c r="A18" s="8" t="s">
        <v>470</v>
      </c>
      <c r="B18" s="8" t="s">
        <v>277</v>
      </c>
      <c r="C18" s="14">
        <f>SUM(INDEX(tblSeg[[Q1 FY24]:[Q4 FY24]],MATCH("TOTAL_OI",tblSeg[Code],0),0))</f>
        <v>109433</v>
      </c>
      <c r="D18" s="14">
        <f>SUM(INDEX(tblSeg[[Q1 FY25]:[Q4 FY25]],MATCH("TOTAL_OI",tblSeg[Code],0),0))</f>
        <v>128528</v>
      </c>
      <c r="E18" s="14">
        <f>SUM(INDEX(tblSeg[[Q1 FY26]:[Q4 FY26]],MATCH("TOTAL_OI",tblSeg[Code],0),0))</f>
        <v>155237</v>
      </c>
      <c r="F18" s="15">
        <f t="shared" si="1"/>
        <v>0.44644299573273716</v>
      </c>
      <c r="G18" s="15">
        <f t="shared" si="1"/>
        <v>0.45621956240859851</v>
      </c>
      <c r="H18" s="15">
        <f t="shared" si="1"/>
        <v>0.46780818408927222</v>
      </c>
      <c r="I18" s="16">
        <f>H18-G18</f>
        <v>1.1588621680673705E-2</v>
      </c>
    </row>
    <row r="21" spans="1:9" x14ac:dyDescent="0.2">
      <c r="A21" s="4" t="s">
        <v>477</v>
      </c>
    </row>
    <row r="22" spans="1:9" ht="30" x14ac:dyDescent="0.2">
      <c r="A22" s="7" t="s">
        <v>182</v>
      </c>
      <c r="B22" s="7" t="s">
        <v>255</v>
      </c>
      <c r="C22" s="7" t="s">
        <v>478</v>
      </c>
      <c r="D22" s="7" t="s">
        <v>462</v>
      </c>
      <c r="E22" s="7" t="s">
        <v>479</v>
      </c>
      <c r="F22" s="7" t="s">
        <v>480</v>
      </c>
      <c r="G22" s="7" t="s">
        <v>481</v>
      </c>
    </row>
    <row r="23" spans="1:9" x14ac:dyDescent="0.2">
      <c r="A23" s="8" t="s">
        <v>467</v>
      </c>
      <c r="B23" s="8" t="s">
        <v>258</v>
      </c>
      <c r="C23" s="14">
        <f>D7-SUM(INDEX(tblSeg[[Q1 FY25]:[Q4 FY25]],MATCH("PBP_COGS",tblSeg[Code],0),0))</f>
        <v>98388</v>
      </c>
      <c r="D23" s="14">
        <f>E7-SUM(INDEX(tblSeg[[Q1 FY26]:[Q4 FY26]],MATCH("PBP_COGS",tblSeg[Code],0),0))</f>
        <v>114979</v>
      </c>
      <c r="E23" s="15">
        <f t="shared" ref="E23:F26" si="2">C23/D7</f>
        <v>0.81440278122671961</v>
      </c>
      <c r="F23" s="15">
        <f t="shared" si="2"/>
        <v>0.82130203720106287</v>
      </c>
      <c r="G23" s="16">
        <f>F23-E23</f>
        <v>6.8992559743432658E-3</v>
      </c>
    </row>
    <row r="24" spans="1:9" x14ac:dyDescent="0.2">
      <c r="A24" s="8" t="s">
        <v>468</v>
      </c>
      <c r="B24" s="8" t="s">
        <v>267</v>
      </c>
      <c r="C24" s="14">
        <f>D8-SUM(INDEX(tblSeg[[Q1 FY25]:[Q4 FY25]],MATCH("IC_COGS",tblSeg[Code],0),0))</f>
        <v>66094</v>
      </c>
      <c r="D24" s="14">
        <f>E8-SUM(INDEX(tblSeg[[Q1 FY26]:[Q4 FY26]],MATCH("IC_COGS",tblSeg[Code],0),0))</f>
        <v>79915</v>
      </c>
      <c r="E24" s="15">
        <f t="shared" si="2"/>
        <v>0.62197336846562834</v>
      </c>
      <c r="F24" s="15">
        <f t="shared" si="2"/>
        <v>0.57997256714879786</v>
      </c>
      <c r="G24" s="16">
        <f>F24-E24</f>
        <v>-4.2000801316830483E-2</v>
      </c>
    </row>
    <row r="25" spans="1:9" x14ac:dyDescent="0.2">
      <c r="A25" s="8" t="s">
        <v>469</v>
      </c>
      <c r="B25" s="8" t="s">
        <v>272</v>
      </c>
      <c r="C25" s="14">
        <f>D9-SUM(INDEX(tblSeg[[Q1 FY25]:[Q4 FY25]],MATCH("MPC_COGS",tblSeg[Code],0),0))</f>
        <v>29411</v>
      </c>
      <c r="D25" s="14">
        <f>E9-SUM(INDEX(tblSeg[[Q1 FY26]:[Q4 FY26]],MATCH("MPC_COGS",tblSeg[Code],0),0))</f>
        <v>30571</v>
      </c>
      <c r="E25" s="15">
        <f t="shared" si="2"/>
        <v>0.5381800215923439</v>
      </c>
      <c r="F25" s="15">
        <f t="shared" si="2"/>
        <v>0.56558499222970471</v>
      </c>
      <c r="G25" s="16">
        <f>F25-E25</f>
        <v>2.7404970637360804E-2</v>
      </c>
    </row>
    <row r="26" spans="1:9" x14ac:dyDescent="0.2">
      <c r="A26" s="8" t="s">
        <v>470</v>
      </c>
      <c r="B26" s="8" t="s">
        <v>277</v>
      </c>
      <c r="C26" s="14">
        <f>D10-SUM(INDEX(tblSeg[[Q1 FY25]:[Q4 FY25]],MATCH("TOTAL_COGS",tblSeg[Code],0),0))</f>
        <v>193893</v>
      </c>
      <c r="D26" s="14">
        <f>E10-SUM(INDEX(tblSeg[[Q1 FY26]:[Q4 FY26]],MATCH("TOTAL_COGS",tblSeg[Code],0),0))</f>
        <v>225465</v>
      </c>
      <c r="E26" s="15">
        <f t="shared" si="2"/>
        <v>0.68823742386165188</v>
      </c>
      <c r="F26" s="15">
        <f t="shared" si="2"/>
        <v>0.67944093370580316</v>
      </c>
      <c r="G26" s="16">
        <f>F26-E26</f>
        <v>-8.796490155848713E-3</v>
      </c>
    </row>
    <row r="29" spans="1:9" x14ac:dyDescent="0.2">
      <c r="A29" s="4" t="s">
        <v>482</v>
      </c>
    </row>
    <row r="30" spans="1:9" ht="30" x14ac:dyDescent="0.2">
      <c r="A30" s="7" t="s">
        <v>182</v>
      </c>
      <c r="B30" s="7" t="s">
        <v>483</v>
      </c>
      <c r="C30" s="7" t="s">
        <v>460</v>
      </c>
      <c r="D30" s="7" t="s">
        <v>461</v>
      </c>
      <c r="E30" s="7" t="s">
        <v>462</v>
      </c>
      <c r="F30" s="7" t="s">
        <v>463</v>
      </c>
      <c r="G30" s="7" t="s">
        <v>464</v>
      </c>
      <c r="H30" s="7" t="s">
        <v>465</v>
      </c>
      <c r="I30" s="7" t="s">
        <v>466</v>
      </c>
    </row>
    <row r="31" spans="1:9" x14ac:dyDescent="0.2">
      <c r="A31" s="8" t="s">
        <v>282</v>
      </c>
      <c r="B31" s="8" t="s">
        <v>283</v>
      </c>
      <c r="C31" s="14">
        <f>SUM(INDEX(tblProd[[Q1 FY24]:[Q4 FY24]],MATCH("P01",tblProd[Code],0),0))</f>
        <v>79828</v>
      </c>
      <c r="D31" s="14">
        <f>SUM(INDEX(tblProd[[Q1 FY25]:[Q4 FY25]],MATCH("P01",tblProd[Code],0),0))</f>
        <v>98435</v>
      </c>
      <c r="E31" s="14">
        <f>SUM(INDEX(tblProd[[Q1 FY26]:[Q4 FY26]],MATCH("P01",tblProd[Code],0),0))</f>
        <v>129425</v>
      </c>
      <c r="F31" s="15">
        <f t="shared" ref="F31:F41" si="3">IF(C31&lt;50,"n.m.",D31/C31-1)</f>
        <v>0.23308864057724099</v>
      </c>
      <c r="G31" s="15">
        <f t="shared" ref="G31:G41" si="4">IF(D31&lt;50,"n.m.",E31/D31-1)</f>
        <v>0.31482704322649457</v>
      </c>
      <c r="H31" s="15">
        <f t="shared" ref="H31:H41" si="5">E31/E$41</f>
        <v>0.39002347523949865</v>
      </c>
      <c r="I31" s="16">
        <f t="shared" ref="I31:I41" si="6">(E31-D31)/D$41</f>
        <v>0.11000127784640286</v>
      </c>
    </row>
    <row r="32" spans="1:9" x14ac:dyDescent="0.2">
      <c r="A32" s="8" t="s">
        <v>285</v>
      </c>
      <c r="B32" s="8" t="s">
        <v>286</v>
      </c>
      <c r="C32" s="14">
        <f>SUM(INDEX(tblProd[[Q1 FY24]:[Q4 FY24]],MATCH("P02",tblProd[Code],0),0))</f>
        <v>76969</v>
      </c>
      <c r="D32" s="14">
        <f>SUM(INDEX(tblProd[[Q1 FY25]:[Q4 FY25]],MATCH("P02",tblProd[Code],0),0))</f>
        <v>87767</v>
      </c>
      <c r="E32" s="14">
        <f>SUM(INDEX(tblProd[[Q1 FY26]:[Q4 FY26]],MATCH("P02",tblProd[Code],0),0))</f>
        <v>101997</v>
      </c>
      <c r="F32" s="15">
        <f t="shared" si="3"/>
        <v>0.14029024672270651</v>
      </c>
      <c r="G32" s="15">
        <f t="shared" si="4"/>
        <v>0.16213383162236372</v>
      </c>
      <c r="H32" s="15">
        <f t="shared" si="5"/>
        <v>0.30736893493531503</v>
      </c>
      <c r="I32" s="16">
        <f t="shared" si="6"/>
        <v>5.0510428646476695E-2</v>
      </c>
    </row>
    <row r="33" spans="1:10" x14ac:dyDescent="0.2">
      <c r="A33" s="8" t="s">
        <v>287</v>
      </c>
      <c r="B33" s="8" t="s">
        <v>288</v>
      </c>
      <c r="C33" s="14">
        <f>SUM(INDEX(tblProd[[Q1 FY24]:[Q4 FY24]],MATCH("P03",tblProd[Code],0),0))</f>
        <v>21503</v>
      </c>
      <c r="D33" s="14">
        <f>SUM(INDEX(tblProd[[Q1 FY25]:[Q4 FY25]],MATCH("P03",tblProd[Code],0),0))</f>
        <v>23455</v>
      </c>
      <c r="E33" s="14">
        <f>SUM(INDEX(tblProd[[Q1 FY26]:[Q4 FY26]],MATCH("P03",tblProd[Code],0),0))</f>
        <v>21790</v>
      </c>
      <c r="F33" s="15">
        <f t="shared" si="3"/>
        <v>9.077803097242243E-2</v>
      </c>
      <c r="G33" s="15">
        <f t="shared" si="4"/>
        <v>-7.0986996376039224E-2</v>
      </c>
      <c r="H33" s="15">
        <f t="shared" si="5"/>
        <v>6.5664373385888944E-2</v>
      </c>
      <c r="I33" s="16">
        <f t="shared" si="6"/>
        <v>-5.9100396132384884E-3</v>
      </c>
    </row>
    <row r="34" spans="1:10" x14ac:dyDescent="0.2">
      <c r="A34" s="8" t="s">
        <v>289</v>
      </c>
      <c r="B34" s="8" t="s">
        <v>290</v>
      </c>
      <c r="C34" s="14">
        <f>SUM(INDEX(tblProd[[Q1 FY24]:[Q4 FY24]],MATCH("P04",tblProd[Code],0),0))</f>
        <v>16372</v>
      </c>
      <c r="D34" s="14">
        <f>SUM(INDEX(tblProd[[Q1 FY25]:[Q4 FY25]],MATCH("P04",tblProd[Code],0),0))</f>
        <v>17812</v>
      </c>
      <c r="E34" s="14">
        <f>SUM(INDEX(tblProd[[Q1 FY26]:[Q4 FY26]],MATCH("P04",tblProd[Code],0),0))</f>
        <v>19817</v>
      </c>
      <c r="F34" s="15">
        <f t="shared" si="3"/>
        <v>8.7955045199120452E-2</v>
      </c>
      <c r="G34" s="15">
        <f t="shared" si="4"/>
        <v>0.11256456321580965</v>
      </c>
      <c r="H34" s="15">
        <f t="shared" si="5"/>
        <v>5.9718719017354802E-2</v>
      </c>
      <c r="I34" s="16">
        <f t="shared" si="6"/>
        <v>7.1168945492751769E-3</v>
      </c>
    </row>
    <row r="35" spans="1:10" x14ac:dyDescent="0.2">
      <c r="A35" s="8" t="s">
        <v>291</v>
      </c>
      <c r="B35" s="8" t="s">
        <v>292</v>
      </c>
      <c r="C35" s="14">
        <f>SUM(INDEX(tblProd[[Q1 FY24]:[Q4 FY24]],MATCH("P05",tblProd[Code],0),0))</f>
        <v>17026</v>
      </c>
      <c r="D35" s="14">
        <f>SUM(INDEX(tblProd[[Q1 FY25]:[Q4 FY25]],MATCH("P05",tblProd[Code],0),0))</f>
        <v>17314</v>
      </c>
      <c r="E35" s="14">
        <f>SUM(INDEX(tblProd[[Q1 FY26]:[Q4 FY26]],MATCH("P05",tblProd[Code],0),0))</f>
        <v>17084</v>
      </c>
      <c r="F35" s="15">
        <f t="shared" si="3"/>
        <v>1.6915306002584174E-2</v>
      </c>
      <c r="G35" s="15">
        <f t="shared" si="4"/>
        <v>-1.3284047591544446E-2</v>
      </c>
      <c r="H35" s="15">
        <f t="shared" si="5"/>
        <v>5.1482797380657488E-2</v>
      </c>
      <c r="I35" s="16">
        <f t="shared" si="6"/>
        <v>-8.164018684954069E-4</v>
      </c>
    </row>
    <row r="36" spans="1:10" x14ac:dyDescent="0.2">
      <c r="A36" s="8" t="s">
        <v>293</v>
      </c>
      <c r="B36" s="8" t="s">
        <v>294</v>
      </c>
      <c r="C36" s="14">
        <f>SUM(INDEX(tblProd[[Q1 FY24]:[Q4 FY24]],MATCH("P06",tblProd[Code],0),0))</f>
        <v>12306</v>
      </c>
      <c r="D36" s="14">
        <f>SUM(INDEX(tblProd[[Q1 FY25]:[Q4 FY25]],MATCH("P06",tblProd[Code],0),0))</f>
        <v>13878</v>
      </c>
      <c r="E36" s="14">
        <f>SUM(INDEX(tblProd[[Q1 FY26]:[Q4 FY26]],MATCH("P06",tblProd[Code],0),0))</f>
        <v>15176</v>
      </c>
      <c r="F36" s="15">
        <f t="shared" si="3"/>
        <v>0.12774256460263289</v>
      </c>
      <c r="G36" s="15">
        <f t="shared" si="4"/>
        <v>9.352932699236205E-2</v>
      </c>
      <c r="H36" s="15">
        <f t="shared" si="5"/>
        <v>4.5733021133742571E-2</v>
      </c>
      <c r="I36" s="16">
        <f t="shared" si="6"/>
        <v>4.6073461969871219E-3</v>
      </c>
    </row>
    <row r="37" spans="1:10" x14ac:dyDescent="0.2">
      <c r="A37" s="8" t="s">
        <v>295</v>
      </c>
      <c r="B37" s="8" t="s">
        <v>296</v>
      </c>
      <c r="C37" s="14">
        <f>SUM(INDEX(tblProd[[Q1 FY24]:[Q4 FY24]],MATCH("P07",tblProd[Code],0),0))</f>
        <v>6648</v>
      </c>
      <c r="D37" s="14">
        <f>SUM(INDEX(tblProd[[Q1 FY25]:[Q4 FY25]],MATCH("P07",tblProd[Code],0),0))</f>
        <v>7404</v>
      </c>
      <c r="E37" s="14">
        <f>SUM(INDEX(tblProd[[Q1 FY26]:[Q4 FY26]],MATCH("P07",tblProd[Code],0),0))</f>
        <v>9175</v>
      </c>
      <c r="F37" s="15">
        <f t="shared" si="3"/>
        <v>0.11371841155234663</v>
      </c>
      <c r="G37" s="15">
        <f t="shared" si="4"/>
        <v>0.23919502971366824</v>
      </c>
      <c r="H37" s="15">
        <f t="shared" si="5"/>
        <v>2.76489502439436E-2</v>
      </c>
      <c r="I37" s="16">
        <f t="shared" si="6"/>
        <v>6.2862943874146329E-3</v>
      </c>
    </row>
    <row r="38" spans="1:10" x14ac:dyDescent="0.2">
      <c r="A38" s="8" t="s">
        <v>297</v>
      </c>
      <c r="B38" s="8" t="s">
        <v>298</v>
      </c>
      <c r="C38" s="14">
        <f>SUM(INDEX(tblProd[[Q1 FY24]:[Q4 FY24]],MATCH("P08",tblProd[Code],0),0))</f>
        <v>6831</v>
      </c>
      <c r="D38" s="14">
        <f>SUM(INDEX(tblProd[[Q1 FY25]:[Q4 FY25]],MATCH("P08",tblProd[Code],0),0))</f>
        <v>7827</v>
      </c>
      <c r="E38" s="14">
        <f>SUM(INDEX(tblProd[[Q1 FY26]:[Q4 FY26]],MATCH("P08",tblProd[Code],0),0))</f>
        <v>9006</v>
      </c>
      <c r="F38" s="15">
        <f t="shared" si="3"/>
        <v>0.14580588493631974</v>
      </c>
      <c r="G38" s="15">
        <f t="shared" si="4"/>
        <v>0.1506324262169414</v>
      </c>
      <c r="H38" s="15">
        <f t="shared" si="5"/>
        <v>2.7139667127733628E-2</v>
      </c>
      <c r="I38" s="16">
        <f t="shared" si="6"/>
        <v>4.1849469693742815E-3</v>
      </c>
    </row>
    <row r="39" spans="1:10" x14ac:dyDescent="0.2">
      <c r="A39" s="8" t="s">
        <v>299</v>
      </c>
      <c r="B39" s="8" t="s">
        <v>300</v>
      </c>
      <c r="C39" s="14">
        <f>SUM(INDEX(tblProd[[Q1 FY24]:[Q4 FY24]],MATCH("P09",tblProd[Code],0),0))</f>
        <v>7594</v>
      </c>
      <c r="D39" s="14">
        <f>SUM(INDEX(tblProd[[Q1 FY25]:[Q4 FY25]],MATCH("P09",tblProd[Code],0),0))</f>
        <v>7760</v>
      </c>
      <c r="E39" s="14">
        <f>SUM(INDEX(tblProd[[Q1 FY26]:[Q4 FY26]],MATCH("P09",tblProd[Code],0),0))</f>
        <v>8260</v>
      </c>
      <c r="F39" s="15">
        <f t="shared" si="3"/>
        <v>2.1859362654727432E-2</v>
      </c>
      <c r="G39" s="15">
        <f t="shared" si="4"/>
        <v>6.4432989690721643E-2</v>
      </c>
      <c r="H39" s="15">
        <f t="shared" si="5"/>
        <v>2.489158899345767E-2</v>
      </c>
      <c r="I39" s="16">
        <f t="shared" si="6"/>
        <v>1.7747866706421889E-3</v>
      </c>
    </row>
    <row r="40" spans="1:10" x14ac:dyDescent="0.2">
      <c r="A40" s="8" t="s">
        <v>301</v>
      </c>
      <c r="B40" s="8" t="s">
        <v>302</v>
      </c>
      <c r="C40" s="14">
        <f>SUM(INDEX(tblProd[[Q1 FY24]:[Q4 FY24]],MATCH("P10",tblProd[Code],0),0))</f>
        <v>45</v>
      </c>
      <c r="D40" s="14">
        <f>SUM(INDEX(tblProd[[Q1 FY25]:[Q4 FY25]],MATCH("P10",tblProd[Code],0),0))</f>
        <v>72</v>
      </c>
      <c r="E40" s="14">
        <f>SUM(INDEX(tblProd[[Q1 FY26]:[Q4 FY26]],MATCH("P10",tblProd[Code],0),0))</f>
        <v>109</v>
      </c>
      <c r="F40" s="15" t="str">
        <f t="shared" si="3"/>
        <v>n.m.</v>
      </c>
      <c r="G40" s="15">
        <f t="shared" si="4"/>
        <v>0.51388888888888884</v>
      </c>
      <c r="H40" s="15">
        <f t="shared" si="5"/>
        <v>3.2847254240761335E-4</v>
      </c>
      <c r="I40" s="16">
        <f t="shared" si="6"/>
        <v>1.3133421362752196E-4</v>
      </c>
    </row>
    <row r="41" spans="1:10" x14ac:dyDescent="0.2">
      <c r="A41" s="8" t="s">
        <v>303</v>
      </c>
      <c r="B41" s="4" t="s">
        <v>277</v>
      </c>
      <c r="C41" s="14">
        <f>SUM(INDEX(tblProd[[Q1 FY24]:[Q4 FY24]],MATCH("P11",tblProd[Code],0),0))</f>
        <v>245122</v>
      </c>
      <c r="D41" s="14">
        <f>SUM(INDEX(tblProd[[Q1 FY25]:[Q4 FY25]],MATCH("P11",tblProd[Code],0),0))</f>
        <v>281724</v>
      </c>
      <c r="E41" s="14">
        <f>SUM(INDEX(tblProd[[Q1 FY26]:[Q4 FY26]],MATCH("P11",tblProd[Code],0),0))</f>
        <v>331839</v>
      </c>
      <c r="F41" s="15">
        <f t="shared" si="3"/>
        <v>0.14932156232406713</v>
      </c>
      <c r="G41" s="15">
        <f t="shared" si="4"/>
        <v>0.17788686799846665</v>
      </c>
      <c r="H41" s="15">
        <f t="shared" si="5"/>
        <v>1</v>
      </c>
      <c r="I41" s="16">
        <f t="shared" si="6"/>
        <v>0.17788686799846659</v>
      </c>
    </row>
    <row r="43" spans="1:10" x14ac:dyDescent="0.2">
      <c r="A43" s="4" t="s">
        <v>484</v>
      </c>
    </row>
    <row r="44" spans="1:10" x14ac:dyDescent="0.2">
      <c r="A44" s="7" t="s">
        <v>182</v>
      </c>
      <c r="B44" s="7" t="s">
        <v>255</v>
      </c>
      <c r="C44" s="7" t="s">
        <v>189</v>
      </c>
      <c r="D44" s="7" t="s">
        <v>190</v>
      </c>
      <c r="E44" s="7" t="s">
        <v>191</v>
      </c>
      <c r="F44" s="7" t="s">
        <v>192</v>
      </c>
      <c r="G44" s="7" t="s">
        <v>193</v>
      </c>
      <c r="H44" s="7" t="s">
        <v>194</v>
      </c>
      <c r="I44" s="7" t="s">
        <v>195</v>
      </c>
      <c r="J44" s="7" t="s">
        <v>196</v>
      </c>
    </row>
    <row r="45" spans="1:10" x14ac:dyDescent="0.2">
      <c r="A45" s="8" t="s">
        <v>467</v>
      </c>
      <c r="B45" s="8" t="s">
        <v>258</v>
      </c>
      <c r="C45" s="15">
        <f>INDEX(tblSeg[Q1 FY25],MATCH("PBP_REV",tblSeg[Code],0))/INDEX(tblSeg[Q1 FY24],MATCH("PBP_REV",tblSeg[Code],0))-1</f>
        <v>0.12253230793625614</v>
      </c>
      <c r="D45" s="15">
        <f>INDEX(tblSeg[Q2 FY25],MATCH("PBP_REV",tblSeg[Code],0))/INDEX(tblSeg[Q2 FY24],MATCH("PBP_REV",tblSeg[Code],0))-1</f>
        <v>0.13858590546917315</v>
      </c>
      <c r="E45" s="15">
        <f>INDEX(tblSeg[Q3 FY25],MATCH("PBP_REV",tblSeg[Code],0))/INDEX(tblSeg[Q3 FY24],MATCH("PBP_REV",tblSeg[Code],0))-1</f>
        <v>0.10441485634197623</v>
      </c>
      <c r="F45" s="15">
        <f>INDEX(tblSeg[Q4 FY25],MATCH("PBP_REV",tblSeg[Code],0))/INDEX(tblSeg[Q4 FY24],MATCH("PBP_REV",tblSeg[Code],0))-1</f>
        <v>0.15667027631257202</v>
      </c>
      <c r="G45" s="15">
        <f>INDEX(tblSeg[Q1 FY26],MATCH("PBP_REV",tblSeg[Code],0))/INDEX(tblSeg[Q1 FY25],MATCH("PBP_REV",tblSeg[Code],0))-1</f>
        <v>0.16608397782250939</v>
      </c>
      <c r="H45" s="15">
        <f>INDEX(tblSeg[Q2 FY26],MATCH("PBP_REV",tblSeg[Code],0))/INDEX(tblSeg[Q2 FY25],MATCH("PBP_REV",tblSeg[Code],0))-1</f>
        <v>0.15894962122498901</v>
      </c>
      <c r="I45" s="15">
        <f>INDEX(tblSeg[Q3 FY26],MATCH("PBP_REV",tblSeg[Code],0))/INDEX(tblSeg[Q3 FY25],MATCH("PBP_REV",tblSeg[Code],0))-1</f>
        <v>0.16928266096713873</v>
      </c>
      <c r="J45" s="15">
        <f>INDEX(tblSeg[Q4 FY26],MATCH("PBP_REV",tblSeg[Code],0))/INDEX(tblSeg[Q4 FY25],MATCH("PBP_REV",tblSeg[Code],0))-1</f>
        <v>0.14299951679149547</v>
      </c>
    </row>
    <row r="46" spans="1:10" x14ac:dyDescent="0.2">
      <c r="A46" s="8" t="s">
        <v>468</v>
      </c>
      <c r="B46" s="8" t="s">
        <v>267</v>
      </c>
      <c r="C46" s="15">
        <f>INDEX(tblSeg[Q1 FY25],MATCH("IC_REV",tblSeg[Code],0))/INDEX(tblSeg[Q1 FY24],MATCH("IC_REV",tblSeg[Code],0))-1</f>
        <v>0.20381751861290165</v>
      </c>
      <c r="D46" s="15">
        <f>INDEX(tblSeg[Q2 FY25],MATCH("IC_REV",tblSeg[Code],0))/INDEX(tblSeg[Q2 FY24],MATCH("IC_REV",tblSeg[Code],0))-1</f>
        <v>0.18671312427409981</v>
      </c>
      <c r="E46" s="15">
        <f>INDEX(tblSeg[Q3 FY25],MATCH("IC_REV",tblSeg[Code],0))/INDEX(tblSeg[Q3 FY24],MATCH("IC_REV",tblSeg[Code],0))-1</f>
        <v>0.20821101124610442</v>
      </c>
      <c r="F46" s="15">
        <f>INDEX(tblSeg[Q4 FY25],MATCH("IC_REV",tblSeg[Code],0))/INDEX(tblSeg[Q4 FY24],MATCH("IC_REV",tblSeg[Code],0))-1</f>
        <v>0.25616985495059907</v>
      </c>
      <c r="G46" s="15">
        <f>INDEX(tblSeg[Q1 FY26],MATCH("IC_REV",tblSeg[Code],0))/INDEX(tblSeg[Q1 FY25],MATCH("IC_REV",tblSeg[Code],0))-1</f>
        <v>0.28245890752116876</v>
      </c>
      <c r="H46" s="15">
        <f>INDEX(tblSeg[Q2 FY26],MATCH("IC_REV",tblSeg[Code],0))/INDEX(tblSeg[Q2 FY25],MATCH("IC_REV",tblSeg[Code],0))-1</f>
        <v>0.28824772940808008</v>
      </c>
      <c r="I46" s="15">
        <f>INDEX(tblSeg[Q3 FY26],MATCH("IC_REV",tblSeg[Code],0))/INDEX(tblSeg[Q3 FY25],MATCH("IC_REV",tblSeg[Code],0))-1</f>
        <v>0.29643751635452875</v>
      </c>
      <c r="J46" s="15">
        <f>INDEX(tblSeg[Q4 FY26],MATCH("IC_REV",tblSeg[Code],0))/INDEX(tblSeg[Q4 FY25],MATCH("IC_REV",tblSeg[Code],0))-1</f>
        <v>0.31554990293861707</v>
      </c>
    </row>
    <row r="47" spans="1:10" x14ac:dyDescent="0.2">
      <c r="A47" s="8" t="s">
        <v>469</v>
      </c>
      <c r="B47" s="8" t="s">
        <v>272</v>
      </c>
      <c r="C47" s="15">
        <f>INDEX(tblSeg[Q1 FY25],MATCH("MPC_REV",tblSeg[Code],0))/INDEX(tblSeg[Q1 FY24],MATCH("MPC_REV",tblSeg[Code],0))-1</f>
        <v>0.16829225039900697</v>
      </c>
      <c r="D47" s="15">
        <f>INDEX(tblSeg[Q2 FY25],MATCH("MPC_REV",tblSeg[Code],0))/INDEX(tblSeg[Q2 FY24],MATCH("MPC_REV",tblSeg[Code],0))-1</f>
        <v>6.8301345536503355E-4</v>
      </c>
      <c r="E47" s="15">
        <f>INDEX(tblSeg[Q3 FY25],MATCH("MPC_REV",tblSeg[Code],0))/INDEX(tblSeg[Q3 FY24],MATCH("MPC_REV",tblSeg[Code],0))-1</f>
        <v>6.0853697238971716E-2</v>
      </c>
      <c r="F47" s="15">
        <f>INDEX(tblSeg[Q4 FY25],MATCH("MPC_REV",tblSeg[Code],0))/INDEX(tblSeg[Q4 FY24],MATCH("MPC_REV",tblSeg[Code],0))-1</f>
        <v>9.2245229395046646E-2</v>
      </c>
      <c r="G47" s="15">
        <f>INDEX(tblSeg[Q1 FY26],MATCH("MPC_REV",tblSeg[Code],0))/INDEX(tblSeg[Q1 FY25],MATCH("MPC_REV",tblSeg[Code],0))-1</f>
        <v>4.4019429265330867E-2</v>
      </c>
      <c r="H47" s="15">
        <f>INDEX(tblSeg[Q2 FY26],MATCH("MPC_REV",tblSeg[Code],0))/INDEX(tblSeg[Q2 FY25],MATCH("MPC_REV",tblSeg[Code],0))-1</f>
        <v>-2.7370145382567768E-2</v>
      </c>
      <c r="I47" s="15">
        <f>INDEX(tblSeg[Q3 FY26],MATCH("MPC_REV",tblSeg[Code],0))/INDEX(tblSeg[Q3 FY25],MATCH("MPC_REV",tblSeg[Code],0))-1</f>
        <v>-1.3387181213073029E-2</v>
      </c>
      <c r="J47" s="15">
        <f>INDEX(tblSeg[Q4 FY26],MATCH("MPC_REV",tblSeg[Code],0))/INDEX(tblSeg[Q4 FY25],MATCH("MPC_REV",tblSeg[Code],0))-1</f>
        <v>-4.4383317225485053E-2</v>
      </c>
    </row>
    <row r="48" spans="1:10" x14ac:dyDescent="0.2">
      <c r="A48" s="8" t="s">
        <v>470</v>
      </c>
      <c r="B48" s="8" t="s">
        <v>277</v>
      </c>
      <c r="C48" s="15">
        <f>INDEX(tblSeg[Q1 FY25],MATCH("TOTAL_REV",tblSeg[Code],0))/INDEX(tblSeg[Q1 FY24],MATCH("TOTAL_REV",tblSeg[Code],0))-1</f>
        <v>0.16044729904276589</v>
      </c>
      <c r="D48" s="15">
        <f>INDEX(tblSeg[Q2 FY25],MATCH("TOTAL_REV",tblSeg[Code],0))/INDEX(tblSeg[Q2 FY24],MATCH("TOTAL_REV",tblSeg[Code],0))-1</f>
        <v>0.12273460174137374</v>
      </c>
      <c r="E48" s="15">
        <f>INDEX(tblSeg[Q3 FY25],MATCH("TOTAL_REV",tblSeg[Code],0))/INDEX(tblSeg[Q3 FY24],MATCH("TOTAL_REV",tblSeg[Code],0))-1</f>
        <v>0.13269100197225914</v>
      </c>
      <c r="F48" s="15">
        <f>INDEX(tblSeg[Q4 FY25],MATCH("TOTAL_REV",tblSeg[Code],0))/INDEX(tblSeg[Q4 FY24],MATCH("TOTAL_REV",tblSeg[Code],0))-1</f>
        <v>0.18097548163826538</v>
      </c>
      <c r="G48" s="15">
        <f>INDEX(tblSeg[Q1 FY26],MATCH("TOTAL_REV",tblSeg[Code],0))/INDEX(tblSeg[Q1 FY25],MATCH("TOTAL_REV",tblSeg[Code],0))-1</f>
        <v>0.18431043683769155</v>
      </c>
      <c r="H48" s="15">
        <f>INDEX(tblSeg[Q2 FY26],MATCH("TOTAL_REV",tblSeg[Code],0))/INDEX(tblSeg[Q2 FY25],MATCH("TOTAL_REV",tblSeg[Code],0))-1</f>
        <v>0.16717888327205888</v>
      </c>
      <c r="I48" s="15">
        <f>INDEX(tblSeg[Q3 FY26],MATCH("TOTAL_REV",tblSeg[Code],0))/INDEX(tblSeg[Q3 FY25],MATCH("TOTAL_REV",tblSeg[Code],0))-1</f>
        <v>0.18297034224873698</v>
      </c>
      <c r="J48" s="15">
        <f>INDEX(tblSeg[Q4 FY26],MATCH("TOTAL_REV",tblSeg[Code],0))/INDEX(tblSeg[Q4 FY25],MATCH("TOTAL_REV",tblSeg[Code],0))-1</f>
        <v>0.17747020577962092</v>
      </c>
    </row>
  </sheetData>
  <pageMargins left="0.75" right="0.75" top="1" bottom="1" header="0.5" footer="0.5"/>
  <pageSetup fitToHeight="0"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3"/>
  <sheetViews>
    <sheetView showGridLines="0" workbookViewId="0">
      <pane xSplit="2" ySplit="7" topLeftCell="C8" activePane="bottomRight" state="frozen"/>
      <selection pane="topRight"/>
      <selection pane="bottomLeft"/>
      <selection pane="bottomRight"/>
    </sheetView>
  </sheetViews>
  <sheetFormatPr baseColWidth="10" defaultColWidth="8.83203125" defaultRowHeight="15" x14ac:dyDescent="0.2"/>
  <cols>
    <col min="1" max="1" width="7" customWidth="1"/>
    <col min="2" max="2" width="70" customWidth="1"/>
    <col min="3" max="3" width="8" customWidth="1"/>
    <col min="4" max="7" width="12" customWidth="1"/>
    <col min="8" max="8" width="13" customWidth="1"/>
    <col min="9" max="9" width="30" customWidth="1"/>
    <col min="10" max="10" width="46" customWidth="1"/>
    <col min="11" max="11" width="70" customWidth="1"/>
  </cols>
  <sheetData>
    <row r="1" spans="1:11" ht="19" x14ac:dyDescent="0.25">
      <c r="A1" s="1" t="s">
        <v>485</v>
      </c>
    </row>
    <row r="2" spans="1:11" x14ac:dyDescent="0.2">
      <c r="A2" s="2" t="s">
        <v>486</v>
      </c>
    </row>
    <row r="3" spans="1:11" x14ac:dyDescent="0.2">
      <c r="A3" s="3" t="s">
        <v>487</v>
      </c>
    </row>
    <row r="4" spans="1:11" x14ac:dyDescent="0.2">
      <c r="B4" s="4" t="s">
        <v>488</v>
      </c>
      <c r="C4" s="17" t="s">
        <v>489</v>
      </c>
      <c r="D4" s="8">
        <f>MATCH(C4,{"Base","Upside","Downside"},0)</f>
        <v>1</v>
      </c>
      <c r="E4" s="2" t="s">
        <v>490</v>
      </c>
    </row>
    <row r="6" spans="1:11" x14ac:dyDescent="0.2">
      <c r="A6" s="4" t="s">
        <v>491</v>
      </c>
    </row>
    <row r="7" spans="1:11" ht="30" x14ac:dyDescent="0.2">
      <c r="A7" s="7" t="s">
        <v>375</v>
      </c>
      <c r="B7" s="7" t="s">
        <v>492</v>
      </c>
      <c r="C7" s="7" t="s">
        <v>46</v>
      </c>
      <c r="D7" s="7" t="s">
        <v>489</v>
      </c>
      <c r="E7" s="7" t="s">
        <v>493</v>
      </c>
      <c r="F7" s="7" t="s">
        <v>494</v>
      </c>
      <c r="G7" s="7" t="s">
        <v>495</v>
      </c>
      <c r="H7" s="7" t="s">
        <v>496</v>
      </c>
      <c r="I7" s="7" t="s">
        <v>497</v>
      </c>
      <c r="J7" s="7" t="s">
        <v>498</v>
      </c>
      <c r="K7" s="7" t="s">
        <v>499</v>
      </c>
    </row>
    <row r="8" spans="1:11" ht="30" x14ac:dyDescent="0.2">
      <c r="A8" s="4" t="s">
        <v>500</v>
      </c>
      <c r="B8" s="8" t="s">
        <v>501</v>
      </c>
      <c r="C8" s="8" t="s">
        <v>502</v>
      </c>
      <c r="D8" s="18">
        <v>0.11</v>
      </c>
      <c r="E8" s="18">
        <v>0.13</v>
      </c>
      <c r="F8" s="18">
        <v>0.08</v>
      </c>
      <c r="G8" s="19">
        <f t="shared" ref="G8:G24" si="0">CHOOSE($D$4,D8,E8,F8)</f>
        <v>0.11</v>
      </c>
      <c r="H8" s="15">
        <f>Revenue_Forecast!G8</f>
        <v>0.15881135667577184</v>
      </c>
      <c r="I8" s="8" t="s">
        <v>503</v>
      </c>
      <c r="J8" s="6" t="s">
        <v>504</v>
      </c>
      <c r="K8" s="6" t="s">
        <v>505</v>
      </c>
    </row>
    <row r="9" spans="1:11" ht="30" x14ac:dyDescent="0.2">
      <c r="A9" s="4" t="s">
        <v>506</v>
      </c>
      <c r="B9" s="8" t="s">
        <v>507</v>
      </c>
      <c r="C9" s="8" t="s">
        <v>502</v>
      </c>
      <c r="D9" s="18">
        <v>0.32</v>
      </c>
      <c r="E9" s="18">
        <v>0.37</v>
      </c>
      <c r="F9" s="18">
        <v>0.24</v>
      </c>
      <c r="G9" s="19">
        <f t="shared" si="0"/>
        <v>0.32</v>
      </c>
      <c r="H9" s="15">
        <f>Revenue_Forecast!G9</f>
        <v>0.29667341081259124</v>
      </c>
      <c r="I9" s="8" t="s">
        <v>503</v>
      </c>
      <c r="J9" s="6" t="s">
        <v>508</v>
      </c>
      <c r="K9" s="6" t="s">
        <v>509</v>
      </c>
    </row>
    <row r="10" spans="1:11" ht="30" x14ac:dyDescent="0.2">
      <c r="A10" s="4" t="s">
        <v>510</v>
      </c>
      <c r="B10" s="8" t="s">
        <v>511</v>
      </c>
      <c r="C10" s="8" t="s">
        <v>502</v>
      </c>
      <c r="D10" s="18">
        <v>-0.09</v>
      </c>
      <c r="E10" s="18">
        <v>-0.05</v>
      </c>
      <c r="F10" s="18">
        <v>-0.14000000000000001</v>
      </c>
      <c r="G10" s="19">
        <f t="shared" si="0"/>
        <v>-0.09</v>
      </c>
      <c r="H10" s="15">
        <f>Revenue_Forecast!G10</f>
        <v>-1.092426210909625E-2</v>
      </c>
      <c r="I10" s="8" t="s">
        <v>503</v>
      </c>
      <c r="J10" s="6" t="s">
        <v>512</v>
      </c>
      <c r="K10" s="6" t="s">
        <v>513</v>
      </c>
    </row>
    <row r="11" spans="1:11" ht="30" x14ac:dyDescent="0.2">
      <c r="A11" s="4" t="s">
        <v>514</v>
      </c>
      <c r="B11" s="8" t="s">
        <v>515</v>
      </c>
      <c r="C11" s="8" t="s">
        <v>502</v>
      </c>
      <c r="D11" s="18">
        <v>0</v>
      </c>
      <c r="E11" s="18">
        <v>-4.0000000000000001E-3</v>
      </c>
      <c r="F11" s="18">
        <v>0.01</v>
      </c>
      <c r="G11" s="19">
        <f t="shared" si="0"/>
        <v>0</v>
      </c>
      <c r="H11" s="15">
        <f>Operating_Forecast!E26-Operating_Forecast!D26</f>
        <v>-2.8514952051279241E-3</v>
      </c>
      <c r="I11" s="8" t="s">
        <v>516</v>
      </c>
      <c r="J11" s="6" t="s">
        <v>517</v>
      </c>
      <c r="K11" s="6" t="s">
        <v>518</v>
      </c>
    </row>
    <row r="12" spans="1:11" x14ac:dyDescent="0.2">
      <c r="A12" s="4" t="s">
        <v>519</v>
      </c>
      <c r="B12" s="8" t="s">
        <v>520</v>
      </c>
      <c r="C12" s="8" t="s">
        <v>502</v>
      </c>
      <c r="D12" s="18">
        <v>7.0000000000000007E-2</v>
      </c>
      <c r="E12" s="18">
        <v>0.06</v>
      </c>
      <c r="F12" s="18">
        <v>0.09</v>
      </c>
      <c r="G12" s="19">
        <f t="shared" si="0"/>
        <v>7.0000000000000007E-2</v>
      </c>
      <c r="H12" s="15">
        <f>Operating_Forecast!E27</f>
        <v>7.4397613401667506E-2</v>
      </c>
      <c r="I12" s="8" t="s">
        <v>503</v>
      </c>
      <c r="J12" s="6" t="s">
        <v>521</v>
      </c>
      <c r="K12" s="6" t="s">
        <v>522</v>
      </c>
    </row>
    <row r="13" spans="1:11" ht="45" x14ac:dyDescent="0.2">
      <c r="A13" s="4" t="s">
        <v>523</v>
      </c>
      <c r="B13" s="8" t="s">
        <v>524</v>
      </c>
      <c r="C13" s="8" t="s">
        <v>200</v>
      </c>
      <c r="D13" s="20">
        <v>184000</v>
      </c>
      <c r="E13" s="20">
        <v>180000</v>
      </c>
      <c r="F13" s="20">
        <v>195000</v>
      </c>
      <c r="G13" s="21">
        <f t="shared" si="0"/>
        <v>184000</v>
      </c>
      <c r="H13" s="14">
        <f>Capex_and_Depreciation!E8</f>
        <v>115948</v>
      </c>
      <c r="I13" s="8" t="s">
        <v>525</v>
      </c>
      <c r="J13" s="6" t="s">
        <v>526</v>
      </c>
      <c r="K13" s="6" t="s">
        <v>527</v>
      </c>
    </row>
    <row r="14" spans="1:11" ht="30" x14ac:dyDescent="0.2">
      <c r="A14" s="4" t="s">
        <v>528</v>
      </c>
      <c r="B14" s="8" t="s">
        <v>529</v>
      </c>
      <c r="C14" s="8" t="s">
        <v>200</v>
      </c>
      <c r="D14" s="20">
        <v>12000</v>
      </c>
      <c r="E14" s="20">
        <v>12000</v>
      </c>
      <c r="F14" s="20">
        <v>12000</v>
      </c>
      <c r="G14" s="21">
        <f t="shared" si="0"/>
        <v>12000</v>
      </c>
      <c r="H14" s="14">
        <f>Capex_and_Depreciation!E9</f>
        <v>24608</v>
      </c>
      <c r="I14" s="8" t="s">
        <v>525</v>
      </c>
      <c r="J14" s="6" t="s">
        <v>530</v>
      </c>
      <c r="K14" s="6" t="s">
        <v>531</v>
      </c>
    </row>
    <row r="15" spans="1:11" x14ac:dyDescent="0.2">
      <c r="A15" s="4" t="s">
        <v>532</v>
      </c>
      <c r="B15" s="8" t="s">
        <v>533</v>
      </c>
      <c r="C15" s="8" t="s">
        <v>502</v>
      </c>
      <c r="D15" s="18">
        <v>0.03</v>
      </c>
      <c r="E15" s="18">
        <v>0.03</v>
      </c>
      <c r="F15" s="18">
        <v>0.03</v>
      </c>
      <c r="G15" s="19">
        <f t="shared" si="0"/>
        <v>0.03</v>
      </c>
      <c r="H15" s="15">
        <f>Capex_and_Depreciation!E32</f>
        <v>3.10161108301883E-2</v>
      </c>
      <c r="I15" s="8" t="s">
        <v>534</v>
      </c>
      <c r="J15" s="6" t="s">
        <v>535</v>
      </c>
      <c r="K15" s="6" t="s">
        <v>536</v>
      </c>
    </row>
    <row r="16" spans="1:11" ht="30" x14ac:dyDescent="0.2">
      <c r="A16" s="4" t="s">
        <v>442</v>
      </c>
      <c r="B16" s="8" t="s">
        <v>537</v>
      </c>
      <c r="C16" s="8" t="s">
        <v>502</v>
      </c>
      <c r="D16" s="18">
        <v>9.8000000000000004E-2</v>
      </c>
      <c r="E16" s="18">
        <v>9.2999999999999999E-2</v>
      </c>
      <c r="F16" s="18">
        <v>0.105</v>
      </c>
      <c r="G16" s="19">
        <f t="shared" si="0"/>
        <v>9.8000000000000004E-2</v>
      </c>
      <c r="H16" s="15">
        <f>Capex_and_Depreciation!E25</f>
        <v>9.3922939377260789E-2</v>
      </c>
      <c r="I16" s="8" t="s">
        <v>525</v>
      </c>
      <c r="J16" s="6" t="s">
        <v>538</v>
      </c>
      <c r="K16" s="6" t="s">
        <v>539</v>
      </c>
    </row>
    <row r="17" spans="1:11" x14ac:dyDescent="0.2">
      <c r="A17" s="4" t="s">
        <v>445</v>
      </c>
      <c r="B17" s="8" t="s">
        <v>540</v>
      </c>
      <c r="C17" s="8" t="s">
        <v>200</v>
      </c>
      <c r="D17" s="20">
        <v>4000</v>
      </c>
      <c r="E17" s="20">
        <v>4000</v>
      </c>
      <c r="F17" s="20">
        <v>4000</v>
      </c>
      <c r="G17" s="21">
        <f t="shared" si="0"/>
        <v>4000</v>
      </c>
      <c r="H17" s="14">
        <f>Capex_and_Depreciation!E26</f>
        <v>4234</v>
      </c>
      <c r="I17" s="8" t="s">
        <v>541</v>
      </c>
      <c r="J17" s="6" t="s">
        <v>535</v>
      </c>
      <c r="K17" s="6" t="s">
        <v>542</v>
      </c>
    </row>
    <row r="18" spans="1:11" x14ac:dyDescent="0.2">
      <c r="A18" s="4" t="s">
        <v>543</v>
      </c>
      <c r="B18" s="8" t="s">
        <v>221</v>
      </c>
      <c r="C18" s="8" t="s">
        <v>200</v>
      </c>
      <c r="D18" s="20">
        <v>-400</v>
      </c>
      <c r="E18" s="20">
        <v>0</v>
      </c>
      <c r="F18" s="20">
        <v>-1000</v>
      </c>
      <c r="G18" s="21">
        <f t="shared" si="0"/>
        <v>-400</v>
      </c>
      <c r="H18" s="14">
        <f>Operating_Forecast!E20</f>
        <v>10697</v>
      </c>
      <c r="I18" s="8" t="s">
        <v>544</v>
      </c>
      <c r="J18" s="6" t="s">
        <v>545</v>
      </c>
      <c r="K18" s="6" t="s">
        <v>546</v>
      </c>
    </row>
    <row r="19" spans="1:11" x14ac:dyDescent="0.2">
      <c r="A19" s="4" t="s">
        <v>547</v>
      </c>
      <c r="B19" s="8" t="s">
        <v>408</v>
      </c>
      <c r="C19" s="8" t="s">
        <v>502</v>
      </c>
      <c r="D19" s="18">
        <v>0.2</v>
      </c>
      <c r="E19" s="18">
        <v>0.2</v>
      </c>
      <c r="F19" s="18">
        <v>0.2</v>
      </c>
      <c r="G19" s="19">
        <f t="shared" si="0"/>
        <v>0.2</v>
      </c>
      <c r="H19" s="15">
        <f>Operating_Forecast!E29</f>
        <v>0.19396265985271252</v>
      </c>
      <c r="I19" s="8" t="s">
        <v>525</v>
      </c>
      <c r="J19" s="6" t="s">
        <v>409</v>
      </c>
      <c r="K19" s="6" t="s">
        <v>548</v>
      </c>
    </row>
    <row r="20" spans="1:11" x14ac:dyDescent="0.2">
      <c r="A20" s="4" t="s">
        <v>549</v>
      </c>
      <c r="B20" s="8" t="s">
        <v>550</v>
      </c>
      <c r="C20" s="8" t="s">
        <v>502</v>
      </c>
      <c r="D20" s="18">
        <v>3.6999999999999998E-2</v>
      </c>
      <c r="E20" s="18">
        <v>3.6999999999999998E-2</v>
      </c>
      <c r="F20" s="18">
        <v>3.6999999999999998E-2</v>
      </c>
      <c r="G20" s="19">
        <f t="shared" si="0"/>
        <v>3.6999999999999998E-2</v>
      </c>
      <c r="H20" s="15">
        <f>Cash_Flow!E25</f>
        <v>3.7382586133637097E-2</v>
      </c>
      <c r="I20" s="8" t="s">
        <v>525</v>
      </c>
      <c r="J20" s="6" t="s">
        <v>535</v>
      </c>
      <c r="K20" s="6" t="s">
        <v>551</v>
      </c>
    </row>
    <row r="21" spans="1:11" ht="30" x14ac:dyDescent="0.2">
      <c r="A21" s="4" t="s">
        <v>552</v>
      </c>
      <c r="B21" s="8" t="s">
        <v>553</v>
      </c>
      <c r="C21" s="8" t="s">
        <v>502</v>
      </c>
      <c r="D21" s="18">
        <v>-0.01</v>
      </c>
      <c r="E21" s="18">
        <v>-5.0000000000000001E-3</v>
      </c>
      <c r="F21" s="18">
        <v>-2.5000000000000001E-2</v>
      </c>
      <c r="G21" s="19">
        <f t="shared" si="0"/>
        <v>-0.01</v>
      </c>
      <c r="H21" s="15">
        <f>Cash_Flow!E26</f>
        <v>-5.2826822645921671E-3</v>
      </c>
      <c r="I21" s="8" t="s">
        <v>525</v>
      </c>
      <c r="J21" s="6" t="s">
        <v>535</v>
      </c>
      <c r="K21" s="6" t="s">
        <v>554</v>
      </c>
    </row>
    <row r="22" spans="1:11" ht="30" x14ac:dyDescent="0.2">
      <c r="A22" s="4" t="s">
        <v>555</v>
      </c>
      <c r="B22" s="8" t="s">
        <v>556</v>
      </c>
      <c r="C22" s="8" t="s">
        <v>200</v>
      </c>
      <c r="D22" s="20">
        <v>4500</v>
      </c>
      <c r="E22" s="20">
        <v>4500</v>
      </c>
      <c r="F22" s="20">
        <v>4500</v>
      </c>
      <c r="G22" s="21">
        <f t="shared" si="0"/>
        <v>4500</v>
      </c>
      <c r="H22" s="14">
        <f>Cash_Flow!E15</f>
        <v>3101</v>
      </c>
      <c r="I22" s="8" t="s">
        <v>525</v>
      </c>
      <c r="J22" s="6" t="s">
        <v>535</v>
      </c>
      <c r="K22" s="6" t="s">
        <v>557</v>
      </c>
    </row>
    <row r="23" spans="1:11" x14ac:dyDescent="0.2">
      <c r="A23" s="4" t="s">
        <v>558</v>
      </c>
      <c r="B23" s="8" t="s">
        <v>559</v>
      </c>
      <c r="C23" s="8" t="s">
        <v>200</v>
      </c>
      <c r="D23" s="20">
        <v>28500</v>
      </c>
      <c r="E23" s="20">
        <v>28500</v>
      </c>
      <c r="F23" s="20">
        <v>28500</v>
      </c>
      <c r="G23" s="21">
        <f t="shared" si="0"/>
        <v>28500</v>
      </c>
      <c r="H23" s="14">
        <f>Cash_Flow!E17</f>
        <v>26445</v>
      </c>
      <c r="I23" s="8" t="s">
        <v>525</v>
      </c>
      <c r="J23" s="6" t="s">
        <v>535</v>
      </c>
      <c r="K23" s="6" t="s">
        <v>560</v>
      </c>
    </row>
    <row r="24" spans="1:11" x14ac:dyDescent="0.2">
      <c r="A24" s="4" t="s">
        <v>561</v>
      </c>
      <c r="B24" s="8" t="s">
        <v>562</v>
      </c>
      <c r="C24" s="8" t="s">
        <v>200</v>
      </c>
      <c r="D24" s="20">
        <v>20000</v>
      </c>
      <c r="E24" s="20">
        <v>20000</v>
      </c>
      <c r="F24" s="20">
        <v>20000</v>
      </c>
      <c r="G24" s="21">
        <f t="shared" si="0"/>
        <v>20000</v>
      </c>
      <c r="H24" s="14">
        <f>Cash_Flow!E18</f>
        <v>22271</v>
      </c>
      <c r="I24" s="8" t="s">
        <v>525</v>
      </c>
      <c r="J24" s="6" t="s">
        <v>535</v>
      </c>
      <c r="K24" s="6" t="s">
        <v>563</v>
      </c>
    </row>
    <row r="27" spans="1:11" x14ac:dyDescent="0.2">
      <c r="A27" s="4" t="s">
        <v>564</v>
      </c>
    </row>
    <row r="28" spans="1:11" x14ac:dyDescent="0.2">
      <c r="A28" s="7" t="s">
        <v>375</v>
      </c>
      <c r="B28" s="7" t="s">
        <v>565</v>
      </c>
      <c r="C28" s="7" t="s">
        <v>46</v>
      </c>
      <c r="D28" s="7" t="s">
        <v>441</v>
      </c>
      <c r="E28" s="7" t="s">
        <v>184</v>
      </c>
    </row>
    <row r="29" spans="1:11" x14ac:dyDescent="0.2">
      <c r="A29" s="4" t="s">
        <v>566</v>
      </c>
      <c r="B29" s="8" t="s">
        <v>567</v>
      </c>
      <c r="C29" s="8" t="s">
        <v>200</v>
      </c>
      <c r="D29" s="20">
        <v>20000</v>
      </c>
      <c r="E29" s="8" t="s">
        <v>568</v>
      </c>
    </row>
    <row r="30" spans="1:11" x14ac:dyDescent="0.2">
      <c r="A30" s="4" t="s">
        <v>569</v>
      </c>
      <c r="B30" s="8" t="s">
        <v>570</v>
      </c>
      <c r="C30" s="8" t="s">
        <v>502</v>
      </c>
      <c r="D30" s="18">
        <v>0.67</v>
      </c>
      <c r="E30" s="8" t="s">
        <v>571</v>
      </c>
    </row>
    <row r="31" spans="1:11" x14ac:dyDescent="0.2">
      <c r="A31" s="4" t="s">
        <v>572</v>
      </c>
      <c r="B31" s="8" t="s">
        <v>573</v>
      </c>
      <c r="C31" s="8" t="s">
        <v>438</v>
      </c>
      <c r="D31" s="22">
        <v>6</v>
      </c>
      <c r="E31" s="8" t="s">
        <v>574</v>
      </c>
    </row>
    <row r="32" spans="1:11" x14ac:dyDescent="0.2">
      <c r="A32" s="4" t="s">
        <v>575</v>
      </c>
      <c r="B32" s="8" t="s">
        <v>576</v>
      </c>
      <c r="C32" s="8" t="s">
        <v>438</v>
      </c>
      <c r="D32" s="22">
        <v>25</v>
      </c>
      <c r="E32" s="8" t="s">
        <v>577</v>
      </c>
    </row>
    <row r="33" spans="1:9" x14ac:dyDescent="0.2">
      <c r="A33" s="4" t="s">
        <v>578</v>
      </c>
      <c r="B33" s="8" t="s">
        <v>579</v>
      </c>
      <c r="C33" s="8" t="s">
        <v>438</v>
      </c>
      <c r="D33" s="22">
        <v>0.5</v>
      </c>
      <c r="E33" s="8" t="s">
        <v>580</v>
      </c>
    </row>
    <row r="34" spans="1:9" x14ac:dyDescent="0.2">
      <c r="A34" s="4" t="s">
        <v>581</v>
      </c>
      <c r="B34" s="8" t="s">
        <v>582</v>
      </c>
      <c r="C34" s="8" t="s">
        <v>385</v>
      </c>
      <c r="D34" s="23">
        <v>0.4</v>
      </c>
      <c r="E34" s="8" t="s">
        <v>583</v>
      </c>
    </row>
    <row r="35" spans="1:9" x14ac:dyDescent="0.2">
      <c r="A35" s="4" t="s">
        <v>584</v>
      </c>
      <c r="B35" s="8" t="s">
        <v>585</v>
      </c>
      <c r="C35" s="8" t="s">
        <v>502</v>
      </c>
      <c r="D35" s="18">
        <v>0.6</v>
      </c>
      <c r="E35" s="8" t="s">
        <v>586</v>
      </c>
    </row>
    <row r="36" spans="1:9" x14ac:dyDescent="0.2">
      <c r="A36" s="4" t="s">
        <v>587</v>
      </c>
      <c r="B36" s="8" t="s">
        <v>588</v>
      </c>
      <c r="C36" s="8" t="s">
        <v>502</v>
      </c>
      <c r="D36" s="18">
        <v>0.2</v>
      </c>
      <c r="E36" s="8" t="s">
        <v>589</v>
      </c>
    </row>
    <row r="39" spans="1:9" x14ac:dyDescent="0.2">
      <c r="A39" s="4" t="s">
        <v>590</v>
      </c>
    </row>
    <row r="40" spans="1:9" x14ac:dyDescent="0.2">
      <c r="B40" s="8" t="s">
        <v>591</v>
      </c>
      <c r="D40" s="24">
        <v>-0.06</v>
      </c>
      <c r="E40" s="24">
        <v>-0.04</v>
      </c>
      <c r="F40" s="24">
        <v>-0.02</v>
      </c>
      <c r="G40" s="24">
        <v>0</v>
      </c>
      <c r="H40" s="24">
        <v>0.02</v>
      </c>
      <c r="I40" s="24">
        <v>0.04</v>
      </c>
    </row>
    <row r="41" spans="1:9" x14ac:dyDescent="0.2">
      <c r="B41" s="8" t="s">
        <v>592</v>
      </c>
      <c r="D41" s="20">
        <v>-20000</v>
      </c>
      <c r="E41" s="20">
        <v>-10000</v>
      </c>
      <c r="F41" s="20">
        <v>0</v>
      </c>
      <c r="G41" s="20">
        <v>10000</v>
      </c>
      <c r="H41" s="20">
        <v>20000</v>
      </c>
      <c r="I41" s="20">
        <v>30000</v>
      </c>
    </row>
    <row r="42" spans="1:9" x14ac:dyDescent="0.2">
      <c r="B42" s="8" t="s">
        <v>593</v>
      </c>
      <c r="D42" s="24">
        <v>-0.01</v>
      </c>
      <c r="E42" s="24">
        <v>-5.0000000000000001E-3</v>
      </c>
      <c r="F42" s="24">
        <v>0</v>
      </c>
      <c r="G42" s="24">
        <v>5.0000000000000001E-3</v>
      </c>
      <c r="H42" s="24">
        <v>0.01</v>
      </c>
      <c r="I42" s="24">
        <v>1.4999999999999999E-2</v>
      </c>
    </row>
    <row r="43" spans="1:9" x14ac:dyDescent="0.2">
      <c r="B43" s="8" t="s">
        <v>594</v>
      </c>
      <c r="D43" s="24">
        <v>-0.01</v>
      </c>
      <c r="E43" s="24">
        <v>-5.0000000000000001E-3</v>
      </c>
      <c r="F43" s="24">
        <v>0</v>
      </c>
      <c r="G43" s="24">
        <v>5.0000000000000001E-3</v>
      </c>
      <c r="H43" s="24">
        <v>0.01</v>
      </c>
      <c r="I43" s="24">
        <v>1.4999999999999999E-2</v>
      </c>
    </row>
  </sheetData>
  <dataValidations count="1">
    <dataValidation type="list" sqref="C4" xr:uid="{00000000-0002-0000-0400-000000000000}">
      <formula1>"Base,Upside,Downside"</formula1>
    </dataValidation>
  </dataValidations>
  <pageMargins left="0.75" right="0.75" top="1" bottom="1" header="0.5" footer="0.5"/>
  <pageSetup fitToHeight="0" orientation="landscape"/>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26"/>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20" customWidth="1"/>
    <col min="2" max="2" width="66" customWidth="1"/>
    <col min="3" max="7" width="13" customWidth="1"/>
    <col min="8" max="8" width="14" customWidth="1"/>
    <col min="9" max="9" width="100" customWidth="1"/>
  </cols>
  <sheetData>
    <row r="1" spans="1:9" ht="19" x14ac:dyDescent="0.25">
      <c r="A1" s="1" t="s">
        <v>595</v>
      </c>
    </row>
    <row r="2" spans="1:9" x14ac:dyDescent="0.2">
      <c r="A2" s="2" t="s">
        <v>596</v>
      </c>
    </row>
    <row r="3" spans="1:9" x14ac:dyDescent="0.2">
      <c r="A3" s="3" t="s">
        <v>597</v>
      </c>
    </row>
    <row r="5" spans="1:9" x14ac:dyDescent="0.2">
      <c r="B5" s="4" t="str">
        <f>"Selected scenario: "&amp;Assumptions!C4</f>
        <v>Selected scenario: Base</v>
      </c>
    </row>
    <row r="6" spans="1:9" x14ac:dyDescent="0.2">
      <c r="A6" s="7" t="s">
        <v>182</v>
      </c>
      <c r="B6" s="7" t="s">
        <v>183</v>
      </c>
      <c r="C6" s="7" t="s">
        <v>460</v>
      </c>
      <c r="D6" s="7" t="s">
        <v>461</v>
      </c>
      <c r="E6" s="7" t="s">
        <v>462</v>
      </c>
      <c r="F6" s="25" t="s">
        <v>598</v>
      </c>
      <c r="G6" s="7" t="s">
        <v>599</v>
      </c>
      <c r="H6" s="7" t="s">
        <v>600</v>
      </c>
      <c r="I6" s="7" t="s">
        <v>601</v>
      </c>
    </row>
    <row r="8" spans="1:9" x14ac:dyDescent="0.2">
      <c r="A8" s="8" t="s">
        <v>602</v>
      </c>
      <c r="B8" s="8" t="s">
        <v>603</v>
      </c>
      <c r="C8" s="14">
        <f>SUM(INDEX(tblSeg[[Q1 FY24]:[Q4 FY24]],MATCH("PBP_REV",tblSeg[Code],0),0))</f>
        <v>106820</v>
      </c>
      <c r="D8" s="14">
        <f>SUM(INDEX(tblSeg[[Q1 FY25]:[Q4 FY25]],MATCH("PBP_REV",tblSeg[Code],0),0))</f>
        <v>120810</v>
      </c>
      <c r="E8" s="14">
        <f>SUM(INDEX(tblSeg[[Q1 FY26]:[Q4 FY26]],MATCH("PBP_REV",tblSeg[Code],0),0))</f>
        <v>139996</v>
      </c>
      <c r="F8" s="14">
        <f>Revenue_Forecast!$E$8*(1+Assumptions!$G$8)</f>
        <v>155395.56000000003</v>
      </c>
      <c r="G8" s="15">
        <f t="shared" ref="G8:H11" si="0">IF(D8=0,"n.m.",E8/D8-1)</f>
        <v>0.15881135667577184</v>
      </c>
      <c r="H8" s="15">
        <f t="shared" si="0"/>
        <v>0.1100000000000001</v>
      </c>
      <c r="I8" s="2" t="s">
        <v>604</v>
      </c>
    </row>
    <row r="9" spans="1:9" x14ac:dyDescent="0.2">
      <c r="A9" s="8" t="s">
        <v>605</v>
      </c>
      <c r="B9" s="8" t="s">
        <v>606</v>
      </c>
      <c r="C9" s="14">
        <f>SUM(INDEX(tblSeg[[Q1 FY24]:[Q4 FY24]],MATCH("IC_REV",tblSeg[Code],0),0))</f>
        <v>87464</v>
      </c>
      <c r="D9" s="14">
        <f>SUM(INDEX(tblSeg[[Q1 FY25]:[Q4 FY25]],MATCH("IC_REV",tblSeg[Code],0),0))</f>
        <v>106265</v>
      </c>
      <c r="E9" s="14">
        <f>SUM(INDEX(tblSeg[[Q1 FY26]:[Q4 FY26]],MATCH("IC_REV",tblSeg[Code],0),0))</f>
        <v>137791</v>
      </c>
      <c r="F9" s="14">
        <f>Revenue_Forecast!$E$9*(1+Assumptions!$G$9)</f>
        <v>181884.12</v>
      </c>
      <c r="G9" s="15">
        <f t="shared" si="0"/>
        <v>0.29667341081259124</v>
      </c>
      <c r="H9" s="15">
        <f t="shared" si="0"/>
        <v>0.32000000000000006</v>
      </c>
      <c r="I9" s="2" t="s">
        <v>607</v>
      </c>
    </row>
    <row r="10" spans="1:9" x14ac:dyDescent="0.2">
      <c r="A10" s="8" t="s">
        <v>608</v>
      </c>
      <c r="B10" s="8" t="s">
        <v>609</v>
      </c>
      <c r="C10" s="14">
        <f>SUM(INDEX(tblSeg[[Q1 FY24]:[Q4 FY24]],MATCH("MPC_REV",tblSeg[Code],0),0))</f>
        <v>50838</v>
      </c>
      <c r="D10" s="14">
        <f>SUM(INDEX(tblSeg[[Q1 FY25]:[Q4 FY25]],MATCH("MPC_REV",tblSeg[Code],0),0))</f>
        <v>54649</v>
      </c>
      <c r="E10" s="14">
        <f>SUM(INDEX(tblSeg[[Q1 FY26]:[Q4 FY26]],MATCH("MPC_REV",tblSeg[Code],0),0))</f>
        <v>54052</v>
      </c>
      <c r="F10" s="14">
        <f>Revenue_Forecast!$E$10*(1+Assumptions!$G$10)</f>
        <v>49187.32</v>
      </c>
      <c r="G10" s="15">
        <f t="shared" si="0"/>
        <v>-1.092426210909625E-2</v>
      </c>
      <c r="H10" s="15">
        <f t="shared" si="0"/>
        <v>-8.9999999999999969E-2</v>
      </c>
      <c r="I10" s="2" t="s">
        <v>610</v>
      </c>
    </row>
    <row r="11" spans="1:9" x14ac:dyDescent="0.2">
      <c r="A11" s="26" t="s">
        <v>206</v>
      </c>
      <c r="B11" s="26" t="s">
        <v>207</v>
      </c>
      <c r="C11" s="27">
        <f>SUM(C8:C10)</f>
        <v>245122</v>
      </c>
      <c r="D11" s="27">
        <f>SUM(D8:D10)</f>
        <v>281724</v>
      </c>
      <c r="E11" s="27">
        <f>SUM(E8:E10)</f>
        <v>331839</v>
      </c>
      <c r="F11" s="27">
        <f>Revenue_Forecast!$F$8+Revenue_Forecast!$F$9+Revenue_Forecast!$F$10</f>
        <v>386467.00000000006</v>
      </c>
      <c r="G11" s="15">
        <f t="shared" si="0"/>
        <v>0.17788686799846665</v>
      </c>
      <c r="H11" s="15">
        <f t="shared" si="0"/>
        <v>0.16462200042791864</v>
      </c>
      <c r="I11" s="2" t="s">
        <v>611</v>
      </c>
    </row>
    <row r="12" spans="1:9" x14ac:dyDescent="0.2">
      <c r="A12" s="8" t="s">
        <v>612</v>
      </c>
      <c r="B12" s="8" t="s">
        <v>384</v>
      </c>
      <c r="C12" s="15" t="s">
        <v>173</v>
      </c>
      <c r="D12" s="15">
        <f>D11/C11-1</f>
        <v>0.14932156232406713</v>
      </c>
      <c r="E12" s="15">
        <f>E11/D11-1</f>
        <v>0.17788686799846665</v>
      </c>
      <c r="F12" s="15">
        <f>Revenue_Forecast!$F$11/Revenue_Forecast!$E$11-1</f>
        <v>0.16462200042791864</v>
      </c>
      <c r="I12" s="2" t="s">
        <v>613</v>
      </c>
    </row>
    <row r="14" spans="1:9" x14ac:dyDescent="0.2">
      <c r="A14" s="4" t="s">
        <v>614</v>
      </c>
    </row>
    <row r="15" spans="1:9" x14ac:dyDescent="0.2">
      <c r="B15" s="8" t="s">
        <v>615</v>
      </c>
      <c r="C15" s="15">
        <f>C8/C11</f>
        <v>0.43578299785412977</v>
      </c>
      <c r="D15" s="15">
        <f>D8/D11</f>
        <v>0.42882395536056567</v>
      </c>
      <c r="E15" s="15">
        <f>E8/E11</f>
        <v>0.42187928483391041</v>
      </c>
      <c r="F15" s="15">
        <f>F8/F11</f>
        <v>0.40209270131731817</v>
      </c>
    </row>
    <row r="16" spans="1:9" x14ac:dyDescent="0.2">
      <c r="B16" s="8" t="s">
        <v>616</v>
      </c>
      <c r="C16" s="15">
        <f>C9/C11</f>
        <v>0.35681823744910696</v>
      </c>
      <c r="D16" s="15">
        <f>D9/D11</f>
        <v>0.37719541111158439</v>
      </c>
      <c r="E16" s="15">
        <f>E9/E11</f>
        <v>0.41523449624667386</v>
      </c>
      <c r="F16" s="15">
        <f>F9/F11</f>
        <v>0.47063299065638198</v>
      </c>
    </row>
    <row r="17" spans="1:9" x14ac:dyDescent="0.2">
      <c r="B17" s="8" t="s">
        <v>617</v>
      </c>
      <c r="C17" s="15">
        <f>C10/C11</f>
        <v>0.20739876469676324</v>
      </c>
      <c r="D17" s="15">
        <f>D10/D11</f>
        <v>0.19398063352784994</v>
      </c>
      <c r="E17" s="15">
        <f>E10/E11</f>
        <v>0.16288621891941574</v>
      </c>
      <c r="F17" s="15">
        <f>F10/F11</f>
        <v>0.12727430802629977</v>
      </c>
    </row>
    <row r="20" spans="1:9" x14ac:dyDescent="0.2">
      <c r="A20" s="4" t="s">
        <v>618</v>
      </c>
    </row>
    <row r="21" spans="1:9" ht="30" x14ac:dyDescent="0.2">
      <c r="A21" s="7"/>
      <c r="B21" s="7" t="s">
        <v>255</v>
      </c>
      <c r="C21" s="7" t="s">
        <v>619</v>
      </c>
      <c r="D21" s="7" t="s">
        <v>620</v>
      </c>
      <c r="E21" s="7" t="s">
        <v>621</v>
      </c>
      <c r="F21" s="7" t="s">
        <v>622</v>
      </c>
      <c r="G21" s="7" t="s">
        <v>623</v>
      </c>
      <c r="H21" s="7" t="s">
        <v>624</v>
      </c>
      <c r="I21" s="7" t="s">
        <v>625</v>
      </c>
    </row>
    <row r="22" spans="1:9" x14ac:dyDescent="0.2">
      <c r="B22" s="8" t="s">
        <v>258</v>
      </c>
      <c r="C22" s="14">
        <f>INDEX(tblSeg[Q1 FY26],MATCH("PBP_REV",tblSeg[Code],0))</f>
        <v>33020</v>
      </c>
      <c r="D22" s="14">
        <f>INDEX(tblGuidance[Low],MATCH("G09",tblGuidance[ID],0))</f>
        <v>36700</v>
      </c>
      <c r="E22" s="14">
        <f>INDEX(tblGuidance[High],MATCH("G09",tblGuidance[ID],0))</f>
        <v>37000</v>
      </c>
      <c r="F22" s="15">
        <f>D22/C22-1</f>
        <v>0.11144760751059968</v>
      </c>
      <c r="G22" s="15">
        <f>E22/C22-1</f>
        <v>0.12053301029678987</v>
      </c>
      <c r="H22" s="15">
        <f>Assumptions!$G$8</f>
        <v>0.11</v>
      </c>
      <c r="I22" s="8" t="str">
        <f>IF(H22&lt;F22,"Below the Q1 guided range",IF(H22&gt;G22,"Above the Q1 guided range","Within the Q1 guided range"))</f>
        <v>Below the Q1 guided range</v>
      </c>
    </row>
    <row r="23" spans="1:9" x14ac:dyDescent="0.2">
      <c r="B23" s="8" t="s">
        <v>267</v>
      </c>
      <c r="C23" s="14">
        <f>INDEX(tblSeg[Q1 FY26],MATCH("IC_REV",tblSeg[Code],0))</f>
        <v>30897</v>
      </c>
      <c r="D23" s="14">
        <f>INDEX(tblGuidance[Low],MATCH("G10",tblGuidance[ID],0))</f>
        <v>40950</v>
      </c>
      <c r="E23" s="14">
        <f>INDEX(tblGuidance[High],MATCH("G10",tblGuidance[ID],0))</f>
        <v>41250</v>
      </c>
      <c r="F23" s="15">
        <f>D23/C23-1</f>
        <v>0.32537139528109527</v>
      </c>
      <c r="G23" s="15">
        <f>E23/C23-1</f>
        <v>0.33508107583260505</v>
      </c>
      <c r="H23" s="15">
        <f>Assumptions!$G$9</f>
        <v>0.32</v>
      </c>
      <c r="I23" s="8" t="str">
        <f>IF(H23&lt;F23,"Below the Q1 guided range",IF(H23&gt;G23,"Above the Q1 guided range","Within the Q1 guided range"))</f>
        <v>Below the Q1 guided range</v>
      </c>
    </row>
    <row r="24" spans="1:9" x14ac:dyDescent="0.2">
      <c r="B24" s="8" t="s">
        <v>272</v>
      </c>
      <c r="C24" s="14">
        <f>INDEX(tblSeg[Q1 FY26],MATCH("MPC_REV",tblSeg[Code],0))</f>
        <v>13756</v>
      </c>
      <c r="D24" s="14">
        <f>INDEX(tblGuidance[Low],MATCH("G11",tblGuidance[ID],0))</f>
        <v>12200</v>
      </c>
      <c r="E24" s="14">
        <f>INDEX(tblGuidance[High],MATCH("G11",tblGuidance[ID],0))</f>
        <v>12700</v>
      </c>
      <c r="F24" s="15">
        <f>D24/C24-1</f>
        <v>-0.11311427740622271</v>
      </c>
      <c r="G24" s="15">
        <f>E24/C24-1</f>
        <v>-7.6766501890084382E-2</v>
      </c>
      <c r="H24" s="15">
        <f>Assumptions!$G$10</f>
        <v>-0.09</v>
      </c>
      <c r="I24" s="8" t="str">
        <f>IF(H24&lt;F24,"Below the Q1 guided range",IF(H24&gt;G24,"Above the Q1 guided range","Within the Q1 guided range"))</f>
        <v>Within the Q1 guided range</v>
      </c>
    </row>
    <row r="25" spans="1:9" x14ac:dyDescent="0.2">
      <c r="B25" s="8" t="s">
        <v>277</v>
      </c>
      <c r="C25" s="21">
        <f>SUM(C22:C24)</f>
        <v>77673</v>
      </c>
      <c r="D25" s="21">
        <f>SUM(D22:D24)</f>
        <v>89850</v>
      </c>
      <c r="E25" s="21">
        <f>SUM(E22:E24)</f>
        <v>90950</v>
      </c>
      <c r="F25" s="19">
        <f>D25/C25-1</f>
        <v>0.15677262369163025</v>
      </c>
      <c r="G25" s="19">
        <f>E25/C25-1</f>
        <v>0.17093455898446042</v>
      </c>
      <c r="H25" s="19">
        <f>F12</f>
        <v>0.16462200042791864</v>
      </c>
      <c r="I25" s="8" t="str">
        <f>IF(H25&lt;F25,"Below the Q1 guided range",IF(H25&gt;G25,"Above the Q1 guided range","Within the Q1 guided range"))</f>
        <v>Within the Q1 guided range</v>
      </c>
    </row>
    <row r="26" spans="1:9" x14ac:dyDescent="0.2">
      <c r="B26" s="2" t="s">
        <v>626</v>
      </c>
    </row>
  </sheetData>
  <pageMargins left="0.75" right="0.75" top="1" bottom="1" header="0.5" footer="0.5"/>
  <pageSetup fitToHeight="0"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43"/>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20" customWidth="1"/>
    <col min="2" max="2" width="66" customWidth="1"/>
    <col min="3" max="7" width="13" customWidth="1"/>
    <col min="8" max="8" width="14" customWidth="1"/>
    <col min="9" max="9" width="100" customWidth="1"/>
  </cols>
  <sheetData>
    <row r="1" spans="1:9" ht="19" x14ac:dyDescent="0.25">
      <c r="A1" s="1" t="s">
        <v>627</v>
      </c>
    </row>
    <row r="2" spans="1:9" x14ac:dyDescent="0.2">
      <c r="A2" s="2" t="s">
        <v>628</v>
      </c>
    </row>
    <row r="3" spans="1:9" x14ac:dyDescent="0.2">
      <c r="A3" s="3" t="s">
        <v>597</v>
      </c>
    </row>
    <row r="5" spans="1:9" x14ac:dyDescent="0.2">
      <c r="B5" s="4" t="str">
        <f>"Selected scenario: "&amp;Assumptions!C4</f>
        <v>Selected scenario: Base</v>
      </c>
    </row>
    <row r="6" spans="1:9" x14ac:dyDescent="0.2">
      <c r="A6" s="7" t="s">
        <v>182</v>
      </c>
      <c r="B6" s="7" t="s">
        <v>183</v>
      </c>
      <c r="C6" s="7" t="s">
        <v>460</v>
      </c>
      <c r="D6" s="7" t="s">
        <v>461</v>
      </c>
      <c r="E6" s="7" t="s">
        <v>462</v>
      </c>
      <c r="F6" s="25" t="s">
        <v>598</v>
      </c>
      <c r="G6" s="7" t="s">
        <v>599</v>
      </c>
      <c r="H6" s="7" t="s">
        <v>600</v>
      </c>
      <c r="I6" s="7" t="s">
        <v>601</v>
      </c>
    </row>
    <row r="7" spans="1:9" x14ac:dyDescent="0.2">
      <c r="A7" s="4" t="s">
        <v>629</v>
      </c>
    </row>
    <row r="8" spans="1:9" x14ac:dyDescent="0.2">
      <c r="A8" s="26" t="s">
        <v>206</v>
      </c>
      <c r="B8" s="26" t="s">
        <v>207</v>
      </c>
      <c r="C8" s="27">
        <f>Revenue_Forecast!C11</f>
        <v>245122</v>
      </c>
      <c r="D8" s="27">
        <f>Revenue_Forecast!D11</f>
        <v>281724</v>
      </c>
      <c r="E8" s="27">
        <f>Revenue_Forecast!E11</f>
        <v>331839</v>
      </c>
      <c r="F8" s="27">
        <f>Revenue_Forecast!F11</f>
        <v>386467.00000000006</v>
      </c>
      <c r="G8" s="15">
        <f>IF(D8=0,"n.m.",E8/D8-1)</f>
        <v>0.17788686799846665</v>
      </c>
      <c r="H8" s="15">
        <f>IF(E8=0,"n.m.",F8/E8-1)</f>
        <v>0.16462200042791864</v>
      </c>
    </row>
    <row r="9" spans="1:9" x14ac:dyDescent="0.2">
      <c r="A9" s="8" t="s">
        <v>630</v>
      </c>
      <c r="B9" s="8" t="s">
        <v>631</v>
      </c>
      <c r="C9" s="14">
        <f>C11-C10</f>
        <v>53156</v>
      </c>
      <c r="D9" s="14">
        <f>D11-D10</f>
        <v>58398</v>
      </c>
      <c r="E9" s="14">
        <f>E11-E10</f>
        <v>67840</v>
      </c>
      <c r="F9" s="14">
        <f>Revenue_Forecast!$F$11*(Operating_Forecast!$E$26+Assumptions!$G$11)</f>
        <v>79007.956509030002</v>
      </c>
      <c r="I9" s="2" t="s">
        <v>632</v>
      </c>
    </row>
    <row r="10" spans="1:9" x14ac:dyDescent="0.2">
      <c r="A10" s="8" t="s">
        <v>633</v>
      </c>
      <c r="B10" s="8" t="s">
        <v>634</v>
      </c>
      <c r="C10" s="14">
        <f>INDEX(tblAnnual[FY2024],MATCH("DA_CF",tblAnnual[Code],0))</f>
        <v>20958</v>
      </c>
      <c r="D10" s="14">
        <f>INDEX(tblAnnual[FY2025],MATCH("DA_CF",tblAnnual[Code],0))</f>
        <v>29433</v>
      </c>
      <c r="E10" s="14">
        <f>INDEX(tblAnnual[FY2026],MATCH("DA_CF",tblAnnual[Code],0))</f>
        <v>38534</v>
      </c>
      <c r="F10" s="14">
        <f>Capex_and_Depreciation!F27</f>
        <v>55282.468509999999</v>
      </c>
      <c r="I10" s="2" t="s">
        <v>635</v>
      </c>
    </row>
    <row r="11" spans="1:9" x14ac:dyDescent="0.2">
      <c r="A11" s="8" t="s">
        <v>208</v>
      </c>
      <c r="B11" s="8" t="s">
        <v>209</v>
      </c>
      <c r="C11" s="14">
        <f>SUM(INDEX(tblQ[[Q1 FY24]:[Q4 FY24]],MATCH("COGS",tblQ[Code],0),0))</f>
        <v>74114</v>
      </c>
      <c r="D11" s="14">
        <f>SUM(INDEX(tblQ[[Q1 FY25]:[Q4 FY25]],MATCH("COGS",tblQ[Code],0),0))</f>
        <v>87831</v>
      </c>
      <c r="E11" s="14">
        <f>SUM(INDEX(tblQ[[Q1 FY26]:[Q4 FY26]],MATCH("COGS",tblQ[Code],0),0))</f>
        <v>106374</v>
      </c>
      <c r="F11" s="14">
        <f>Operating_Forecast!$F$9+Capex_and_Depreciation!$F$27</f>
        <v>134290.42501902999</v>
      </c>
      <c r="G11" s="15">
        <f>IF(D11=0,"n.m.",E11/D11-1)</f>
        <v>0.21112135806264298</v>
      </c>
      <c r="H11" s="15">
        <f>IF(E11=0,"n.m.",F11/E11-1)</f>
        <v>0.26243654482326506</v>
      </c>
      <c r="I11" s="2" t="s">
        <v>636</v>
      </c>
    </row>
    <row r="12" spans="1:9" x14ac:dyDescent="0.2">
      <c r="A12" s="26" t="s">
        <v>210</v>
      </c>
      <c r="B12" s="26" t="s">
        <v>211</v>
      </c>
      <c r="C12" s="27">
        <f>C8-C11</f>
        <v>171008</v>
      </c>
      <c r="D12" s="27">
        <f>D8-D11</f>
        <v>193893</v>
      </c>
      <c r="E12" s="27">
        <f>E8-E11</f>
        <v>225465</v>
      </c>
      <c r="F12" s="27">
        <f>Revenue_Forecast!$F$11-Operating_Forecast!$F$11</f>
        <v>252176.57498097006</v>
      </c>
      <c r="G12" s="15">
        <f>IF(D12=0,"n.m.",E12/D12-1)</f>
        <v>0.16283207748603612</v>
      </c>
      <c r="H12" s="15">
        <f>IF(E12=0,"n.m.",F12/E12-1)</f>
        <v>0.11847326627622934</v>
      </c>
      <c r="I12" s="2" t="s">
        <v>637</v>
      </c>
    </row>
    <row r="13" spans="1:9" x14ac:dyDescent="0.2">
      <c r="A13" s="8" t="s">
        <v>638</v>
      </c>
      <c r="B13" s="8" t="s">
        <v>639</v>
      </c>
      <c r="C13" s="15">
        <f>C12/C8</f>
        <v>0.69764443827971379</v>
      </c>
      <c r="D13" s="15">
        <f>D12/D8</f>
        <v>0.68823742386165188</v>
      </c>
      <c r="E13" s="15">
        <f>E12/E8</f>
        <v>0.67944093370580316</v>
      </c>
      <c r="F13" s="15">
        <f>Operating_Forecast!$F$12/Revenue_Forecast!$F$11</f>
        <v>0.65251774402722618</v>
      </c>
    </row>
    <row r="14" spans="1:9" x14ac:dyDescent="0.2">
      <c r="A14" s="8" t="s">
        <v>212</v>
      </c>
      <c r="B14" s="8" t="s">
        <v>213</v>
      </c>
      <c r="C14" s="14">
        <f>SUM(INDEX(tblQ[[Q1 FY24]:[Q4 FY24]],MATCH("RD",tblQ[Code],0),0))</f>
        <v>29510</v>
      </c>
      <c r="D14" s="14">
        <f>SUM(INDEX(tblQ[[Q1 FY25]:[Q4 FY25]],MATCH("RD",tblQ[Code],0),0))</f>
        <v>32488</v>
      </c>
      <c r="E14" s="14">
        <f>SUM(INDEX(tblQ[[Q1 FY26]:[Q4 FY26]],MATCH("RD",tblQ[Code],0),0))</f>
        <v>35562</v>
      </c>
      <c r="F14" s="8" t="s">
        <v>640</v>
      </c>
    </row>
    <row r="15" spans="1:9" x14ac:dyDescent="0.2">
      <c r="A15" s="8" t="s">
        <v>214</v>
      </c>
      <c r="B15" s="8" t="s">
        <v>215</v>
      </c>
      <c r="C15" s="14">
        <f>SUM(INDEX(tblQ[[Q1 FY24]:[Q4 FY24]],MATCH("SM",tblQ[Code],0),0))</f>
        <v>24456</v>
      </c>
      <c r="D15" s="14">
        <f>SUM(INDEX(tblQ[[Q1 FY25]:[Q4 FY25]],MATCH("SM",tblQ[Code],0),0))</f>
        <v>25654</v>
      </c>
      <c r="E15" s="14">
        <f>SUM(INDEX(tblQ[[Q1 FY26]:[Q4 FY26]],MATCH("SM",tblQ[Code],0),0))</f>
        <v>26710</v>
      </c>
      <c r="F15" s="8" t="s">
        <v>640</v>
      </c>
    </row>
    <row r="16" spans="1:9" x14ac:dyDescent="0.2">
      <c r="A16" s="8" t="s">
        <v>216</v>
      </c>
      <c r="B16" s="8" t="s">
        <v>217</v>
      </c>
      <c r="C16" s="14">
        <f>SUM(INDEX(tblQ[[Q1 FY24]:[Q4 FY24]],MATCH("GA",tblQ[Code],0),0))</f>
        <v>7609</v>
      </c>
      <c r="D16" s="14">
        <f>SUM(INDEX(tblQ[[Q1 FY25]:[Q4 FY25]],MATCH("GA",tblQ[Code],0),0))</f>
        <v>7223</v>
      </c>
      <c r="E16" s="14">
        <f>SUM(INDEX(tblQ[[Q1 FY26]:[Q4 FY26]],MATCH("GA",tblQ[Code],0),0))</f>
        <v>7956</v>
      </c>
      <c r="F16" s="8" t="s">
        <v>640</v>
      </c>
    </row>
    <row r="17" spans="1:9" x14ac:dyDescent="0.2">
      <c r="A17" s="8" t="s">
        <v>641</v>
      </c>
      <c r="B17" s="8" t="s">
        <v>642</v>
      </c>
      <c r="C17" s="14">
        <f>SUM(C14:C16)</f>
        <v>61575</v>
      </c>
      <c r="D17" s="14">
        <f>SUM(D14:D16)</f>
        <v>65365</v>
      </c>
      <c r="E17" s="14">
        <f>SUM(E14:E16)</f>
        <v>70228</v>
      </c>
      <c r="F17" s="14">
        <f>Operating_Forecast!$E$17*(1+Assumptions!$G$12)</f>
        <v>75143.960000000006</v>
      </c>
      <c r="G17" s="15">
        <f>IF(D17=0,"n.m.",E17/D17-1)</f>
        <v>7.4397613401667506E-2</v>
      </c>
      <c r="H17" s="15">
        <f>IF(E17=0,"n.m.",F17/E17-1)</f>
        <v>7.0000000000000062E-2</v>
      </c>
      <c r="I17" s="2" t="s">
        <v>643</v>
      </c>
    </row>
    <row r="18" spans="1:9" x14ac:dyDescent="0.2">
      <c r="A18" s="26" t="s">
        <v>218</v>
      </c>
      <c r="B18" s="26" t="s">
        <v>219</v>
      </c>
      <c r="C18" s="27">
        <f>C12-C17</f>
        <v>109433</v>
      </c>
      <c r="D18" s="27">
        <f>D12-D17</f>
        <v>128528</v>
      </c>
      <c r="E18" s="27">
        <f>E12-E17</f>
        <v>155237</v>
      </c>
      <c r="F18" s="27">
        <f>Operating_Forecast!$F$12-Operating_Forecast!$F$17</f>
        <v>177032.61498097004</v>
      </c>
      <c r="G18" s="15">
        <f>IF(D18=0,"n.m.",E18/D18-1)</f>
        <v>0.20780685920577624</v>
      </c>
      <c r="H18" s="15">
        <f>IF(E18=0,"n.m.",F18/E18-1)</f>
        <v>0.14040219136526755</v>
      </c>
      <c r="I18" s="2" t="s">
        <v>644</v>
      </c>
    </row>
    <row r="19" spans="1:9" x14ac:dyDescent="0.2">
      <c r="A19" s="8" t="s">
        <v>645</v>
      </c>
      <c r="B19" s="8" t="s">
        <v>646</v>
      </c>
      <c r="C19" s="15">
        <f>C18/C8</f>
        <v>0.44644299573273716</v>
      </c>
      <c r="D19" s="15">
        <f>D18/D8</f>
        <v>0.45621956240859851</v>
      </c>
      <c r="E19" s="15">
        <f>E18/E8</f>
        <v>0.46780818408927222</v>
      </c>
      <c r="F19" s="15">
        <f>Operating_Forecast!$F$18/Revenue_Forecast!$F$11</f>
        <v>0.45807951256115015</v>
      </c>
    </row>
    <row r="20" spans="1:9" x14ac:dyDescent="0.2">
      <c r="A20" s="8" t="s">
        <v>220</v>
      </c>
      <c r="B20" s="8" t="s">
        <v>221</v>
      </c>
      <c r="C20" s="14">
        <f>SUM(INDEX(tblQ[[Q1 FY24]:[Q4 FY24]],MATCH("OTHER_INC",tblQ[Code],0),0))</f>
        <v>-1646</v>
      </c>
      <c r="D20" s="14">
        <f>SUM(INDEX(tblQ[[Q1 FY25]:[Q4 FY25]],MATCH("OTHER_INC",tblQ[Code],0),0))</f>
        <v>-4901</v>
      </c>
      <c r="E20" s="14">
        <f>SUM(INDEX(tblQ[[Q1 FY26]:[Q4 FY26]],MATCH("OTHER_INC",tblQ[Code],0),0))</f>
        <v>10697</v>
      </c>
      <c r="F20" s="14">
        <f>Assumptions!$G$18</f>
        <v>-400</v>
      </c>
      <c r="I20" s="2" t="s">
        <v>647</v>
      </c>
    </row>
    <row r="21" spans="1:9" x14ac:dyDescent="0.2">
      <c r="A21" s="8" t="s">
        <v>222</v>
      </c>
      <c r="B21" s="8" t="s">
        <v>223</v>
      </c>
      <c r="C21" s="14">
        <f>C18+C20</f>
        <v>107787</v>
      </c>
      <c r="D21" s="14">
        <f>D18+D20</f>
        <v>123627</v>
      </c>
      <c r="E21" s="14">
        <f>E18+E20</f>
        <v>165934</v>
      </c>
      <c r="F21" s="14">
        <f>Operating_Forecast!$F$18+Operating_Forecast!$F$20</f>
        <v>176632.61498097004</v>
      </c>
    </row>
    <row r="22" spans="1:9" x14ac:dyDescent="0.2">
      <c r="A22" s="8" t="s">
        <v>224</v>
      </c>
      <c r="B22" s="8" t="s">
        <v>225</v>
      </c>
      <c r="C22" s="14">
        <f>SUM(INDEX(tblQ[[Q1 FY24]:[Q4 FY24]],MATCH("TAX",tblQ[Code],0),0))</f>
        <v>19651</v>
      </c>
      <c r="D22" s="14">
        <f>SUM(INDEX(tblQ[[Q1 FY25]:[Q4 FY25]],MATCH("TAX",tblQ[Code],0),0))</f>
        <v>21795</v>
      </c>
      <c r="E22" s="14">
        <f>SUM(INDEX(tblQ[[Q1 FY26]:[Q4 FY26]],MATCH("TAX",tblQ[Code],0),0))</f>
        <v>32185</v>
      </c>
      <c r="F22" s="14">
        <f>MAX(Operating_Forecast!$F$21,0)*Assumptions!$G$19</f>
        <v>35326.522996194013</v>
      </c>
      <c r="I22" s="2" t="s">
        <v>648</v>
      </c>
    </row>
    <row r="23" spans="1:9" x14ac:dyDescent="0.2">
      <c r="A23" s="26" t="s">
        <v>226</v>
      </c>
      <c r="B23" s="26" t="s">
        <v>227</v>
      </c>
      <c r="C23" s="27">
        <f>C21-C22</f>
        <v>88136</v>
      </c>
      <c r="D23" s="27">
        <f>D21-D22</f>
        <v>101832</v>
      </c>
      <c r="E23" s="27">
        <f>E21-E22</f>
        <v>133749</v>
      </c>
      <c r="F23" s="27">
        <f>Operating_Forecast!$F$21-Operating_Forecast!$F$22</f>
        <v>141306.09198477602</v>
      </c>
      <c r="G23" s="15">
        <f>IF(D23=0,"n.m.",E23/D23-1)</f>
        <v>0.31342799905727081</v>
      </c>
      <c r="H23" s="15">
        <f>IF(E23=0,"n.m.",F23/E23-1)</f>
        <v>5.6502044761276959E-2</v>
      </c>
      <c r="I23" s="2" t="s">
        <v>649</v>
      </c>
    </row>
    <row r="25" spans="1:9" x14ac:dyDescent="0.2">
      <c r="A25" s="4" t="s">
        <v>650</v>
      </c>
    </row>
    <row r="26" spans="1:9" x14ac:dyDescent="0.2">
      <c r="A26" s="8" t="s">
        <v>651</v>
      </c>
      <c r="B26" s="8" t="s">
        <v>652</v>
      </c>
      <c r="C26" s="15">
        <f>C9/C8</f>
        <v>0.21685528022780493</v>
      </c>
      <c r="D26" s="15">
        <f>D9/D8</f>
        <v>0.20728798398432507</v>
      </c>
      <c r="E26" s="15">
        <f>E9/E8</f>
        <v>0.20443648877919715</v>
      </c>
      <c r="F26" s="15">
        <f>F9/F8</f>
        <v>0.20443648877919715</v>
      </c>
    </row>
    <row r="27" spans="1:9" x14ac:dyDescent="0.2">
      <c r="A27" s="8" t="s">
        <v>653</v>
      </c>
      <c r="B27" s="8" t="s">
        <v>392</v>
      </c>
      <c r="C27" s="15" t="s">
        <v>173</v>
      </c>
      <c r="D27" s="15">
        <f t="shared" ref="D27:F28" si="0">D17/C17-1</f>
        <v>6.1550954120990653E-2</v>
      </c>
      <c r="E27" s="15">
        <f t="shared" si="0"/>
        <v>7.4397613401667506E-2</v>
      </c>
      <c r="F27" s="15">
        <f t="shared" si="0"/>
        <v>7.0000000000000062E-2</v>
      </c>
    </row>
    <row r="28" spans="1:9" x14ac:dyDescent="0.2">
      <c r="A28" s="8" t="s">
        <v>654</v>
      </c>
      <c r="B28" s="8" t="s">
        <v>389</v>
      </c>
      <c r="C28" s="15" t="s">
        <v>173</v>
      </c>
      <c r="D28" s="15">
        <f t="shared" si="0"/>
        <v>0.17449032741494785</v>
      </c>
      <c r="E28" s="15">
        <f t="shared" si="0"/>
        <v>0.20780685920577624</v>
      </c>
      <c r="F28" s="15">
        <f t="shared" si="0"/>
        <v>0.14040219136526755</v>
      </c>
    </row>
    <row r="29" spans="1:9" x14ac:dyDescent="0.2">
      <c r="A29" s="8" t="s">
        <v>655</v>
      </c>
      <c r="B29" s="8" t="s">
        <v>408</v>
      </c>
      <c r="C29" s="15">
        <f>IF(C21&lt;=0,"n.m.",C22/C21)</f>
        <v>0.18231326597827197</v>
      </c>
      <c r="D29" s="15">
        <f>IF(D21&lt;=0,"n.m.",D22/D21)</f>
        <v>0.17629644009803683</v>
      </c>
      <c r="E29" s="15">
        <f>IF(E21&lt;=0,"n.m.",E22/E21)</f>
        <v>0.19396265985271252</v>
      </c>
      <c r="F29" s="15">
        <f>IF(F21&lt;=0,"n.m.",F22/F21)</f>
        <v>0.2</v>
      </c>
    </row>
    <row r="30" spans="1:9" x14ac:dyDescent="0.2">
      <c r="A30" s="8" t="s">
        <v>656</v>
      </c>
      <c r="B30" s="8" t="s">
        <v>657</v>
      </c>
      <c r="C30" s="15">
        <f>C17/C8</f>
        <v>0.25120144254697663</v>
      </c>
      <c r="D30" s="15">
        <f>D17/D8</f>
        <v>0.23201786145305334</v>
      </c>
      <c r="E30" s="15">
        <f>E17/E8</f>
        <v>0.21163274961653092</v>
      </c>
      <c r="F30" s="15">
        <f>F17/F8</f>
        <v>0.194438231466076</v>
      </c>
    </row>
    <row r="31" spans="1:9" x14ac:dyDescent="0.2">
      <c r="A31" s="8" t="s">
        <v>658</v>
      </c>
      <c r="B31" s="8" t="s">
        <v>659</v>
      </c>
      <c r="C31" s="16" t="s">
        <v>173</v>
      </c>
      <c r="D31" s="16">
        <f>D19-C19</f>
        <v>9.7765666758613534E-3</v>
      </c>
      <c r="E31" s="16">
        <f>E19-D19</f>
        <v>1.1588621680673705E-2</v>
      </c>
      <c r="F31" s="16">
        <f>F19-E19</f>
        <v>-9.7286715281220681E-3</v>
      </c>
    </row>
    <row r="32" spans="1:9" x14ac:dyDescent="0.2">
      <c r="A32" s="8" t="s">
        <v>660</v>
      </c>
      <c r="B32" s="8" t="s">
        <v>661</v>
      </c>
      <c r="C32" s="15" t="s">
        <v>173</v>
      </c>
      <c r="D32" s="15">
        <f>D23/C23-1</f>
        <v>0.15539620586366532</v>
      </c>
      <c r="E32" s="15">
        <f>E23/D23-1</f>
        <v>0.31342799905727081</v>
      </c>
      <c r="F32" s="15">
        <f>F23/E23-1</f>
        <v>5.6502044761276959E-2</v>
      </c>
    </row>
    <row r="35" spans="1:9" x14ac:dyDescent="0.2">
      <c r="A35" s="4" t="s">
        <v>662</v>
      </c>
    </row>
    <row r="36" spans="1:9" x14ac:dyDescent="0.2">
      <c r="A36" s="7"/>
      <c r="B36" s="7" t="s">
        <v>377</v>
      </c>
      <c r="C36" s="7" t="s">
        <v>663</v>
      </c>
      <c r="D36" s="7" t="s">
        <v>620</v>
      </c>
      <c r="E36" s="7" t="s">
        <v>621</v>
      </c>
      <c r="F36" s="7" t="s">
        <v>664</v>
      </c>
      <c r="G36" s="7"/>
      <c r="H36" s="7"/>
      <c r="I36" s="7" t="s">
        <v>665</v>
      </c>
    </row>
    <row r="37" spans="1:9" x14ac:dyDescent="0.2">
      <c r="B37" s="8" t="s">
        <v>384</v>
      </c>
      <c r="C37" s="15">
        <f>Revenue_Forecast!F12</f>
        <v>0.16462200042791864</v>
      </c>
      <c r="D37" s="15">
        <f>INDEX(tblGuidance[Low],MATCH("G01",tblGuidance[ID],0))</f>
        <v>0.1</v>
      </c>
      <c r="E37" s="15" t="str">
        <f>IF(INDEX(tblGuidance[High],MATCH("G01",tblGuidance[ID],0))="","none",INDEX(tblGuidance[High],MATCH("G01",tblGuidance[ID],0)))</f>
        <v>none</v>
      </c>
      <c r="F37" s="8" t="str">
        <f>IF(AND(C37&gt;=D37-0.00005,IF(ISNUMBER(E37),C37&lt;=E37+0.00005,TRUE)),"In line with guidance","Outside guidance")</f>
        <v>In line with guidance</v>
      </c>
      <c r="I37" s="2" t="str">
        <f>INDEX(tblGuidance[Wording],MATCH("G01",tblGuidance[ID],0))</f>
        <v>Another fiscal year of double-digit revenue growth</v>
      </c>
    </row>
    <row r="38" spans="1:9" x14ac:dyDescent="0.2">
      <c r="B38" s="8" t="s">
        <v>389</v>
      </c>
      <c r="C38" s="15">
        <f>F28</f>
        <v>0.14040219136526755</v>
      </c>
      <c r="D38" s="15">
        <f>INDEX(tblGuidance[Low],MATCH("G02",tblGuidance[ID],0))</f>
        <v>0.1</v>
      </c>
      <c r="E38" s="15" t="str">
        <f>IF(INDEX(tblGuidance[High],MATCH("G02",tblGuidance[ID],0))="","none",INDEX(tblGuidance[High],MATCH("G02",tblGuidance[ID],0)))</f>
        <v>none</v>
      </c>
      <c r="F38" s="8" t="str">
        <f>IF(AND(C38&gt;=D38-0.00005,IF(ISNUMBER(E38),C38&lt;=E38+0.00005,TRUE)),"In line with guidance","Outside guidance")</f>
        <v>In line with guidance</v>
      </c>
      <c r="I38" s="2" t="str">
        <f>INDEX(tblGuidance[Wording],MATCH("G02",tblGuidance[ID],0))</f>
        <v>Another fiscal year of double-digit operating income growth</v>
      </c>
    </row>
    <row r="39" spans="1:9" x14ac:dyDescent="0.2">
      <c r="B39" s="8" t="s">
        <v>392</v>
      </c>
      <c r="C39" s="15">
        <f>F27</f>
        <v>7.0000000000000062E-2</v>
      </c>
      <c r="D39" s="15">
        <f>INDEX(tblGuidance[Low],MATCH("G03",tblGuidance[ID],0))</f>
        <v>0.04</v>
      </c>
      <c r="E39" s="15">
        <f>IF(INDEX(tblGuidance[High],MATCH("G03",tblGuidance[ID],0))="","none",INDEX(tblGuidance[High],MATCH("G03",tblGuidance[ID],0)))</f>
        <v>0.09</v>
      </c>
      <c r="F39" s="8" t="str">
        <f>IF(AND(C39&gt;=D39-0.00005,IF(ISNUMBER(E39),C39&lt;=E39+0.00005,TRUE)),"In line with guidance","Outside guidance")</f>
        <v>In line with guidance</v>
      </c>
      <c r="I39" s="2" t="str">
        <f>INDEX(tblGuidance[Wording],MATCH("G03",tblGuidance[ID],0))</f>
        <v>Operating expenses should grow in the mid to high-single digits</v>
      </c>
    </row>
    <row r="40" spans="1:9" x14ac:dyDescent="0.2">
      <c r="B40" s="8" t="s">
        <v>396</v>
      </c>
      <c r="C40" s="16">
        <f>F31</f>
        <v>-9.7286715281220681E-3</v>
      </c>
      <c r="D40" s="16">
        <f>INDEX(tblGuidance[Low],MATCH("G04",tblGuidance[ID],0))</f>
        <v>-0.01</v>
      </c>
      <c r="E40" s="16" t="str">
        <f>IF(INDEX(tblGuidance[High],MATCH("G04",tblGuidance[ID],0))="","none",INDEX(tblGuidance[High],MATCH("G04",tblGuidance[ID],0)))</f>
        <v>none</v>
      </c>
      <c r="F40" s="8" t="str">
        <f>IF(AND(C40&gt;=D40-0.00005,IF(ISNUMBER(E40),C40&lt;=E40+0.00005,TRUE)),"In line with guidance","Outside guidance")</f>
        <v>In line with guidance</v>
      </c>
      <c r="I40" s="2" t="str">
        <f>INDEX(tblGuidance[Wording],MATCH("G04",tblGuidance[ID],0))</f>
        <v>Full fiscal year operating margins should be down less than a point</v>
      </c>
    </row>
    <row r="41" spans="1:9" x14ac:dyDescent="0.2">
      <c r="B41" s="8" t="s">
        <v>666</v>
      </c>
      <c r="C41" s="14">
        <f>Cash_Flow!F14</f>
        <v>23023.169494776026</v>
      </c>
      <c r="D41" s="14">
        <f>INDEX(tblGuidance[Low],MATCH("G06",tblGuidance[ID],0))</f>
        <v>0</v>
      </c>
      <c r="E41" s="14" t="str">
        <f>IF(INDEX(tblGuidance[High],MATCH("G06",tblGuidance[ID],0))="","none",INDEX(tblGuidance[High],MATCH("G06",tblGuidance[ID],0)))</f>
        <v>none</v>
      </c>
      <c r="F41" s="8" t="str">
        <f>IF(AND(C41&gt;D41,IF(ISNUMBER(E41),C41&lt;=E41+0.00005,TRUE)),"In line with guidance","Outside guidance")</f>
        <v>In line with guidance</v>
      </c>
      <c r="I41" s="2" t="str">
        <f>INDEX(tblGuidance[Wording],MATCH("G06",tblGuidance[ID],0))</f>
        <v>Expect to remain free cash flow positive in FY27</v>
      </c>
    </row>
    <row r="42" spans="1:9" x14ac:dyDescent="0.2">
      <c r="B42" s="8" t="s">
        <v>408</v>
      </c>
      <c r="C42" s="15">
        <f>F29</f>
        <v>0.2</v>
      </c>
      <c r="D42" s="15">
        <f>INDEX(tblGuidance[Low],MATCH("G07",tblGuidance[ID],0))</f>
        <v>0.2</v>
      </c>
      <c r="E42" s="15">
        <f>IF(INDEX(tblGuidance[High],MATCH("G07",tblGuidance[ID],0))="","none",INDEX(tblGuidance[High],MATCH("G07",tblGuidance[ID],0)))</f>
        <v>0.2</v>
      </c>
      <c r="F42" s="8" t="str">
        <f>IF(AND(C42&gt;=D42-0.00005,IF(ISNUMBER(E42),C42&lt;=E42+0.00005,TRUE)),"In line with guidance","Outside guidance")</f>
        <v>In line with guidance</v>
      </c>
      <c r="I42" s="2" t="str">
        <f>INDEX(tblGuidance[Wording],MATCH("G07",tblGuidance[ID],0))</f>
        <v>FY27 effective tax rate approximately 20%</v>
      </c>
    </row>
    <row r="43" spans="1:9" x14ac:dyDescent="0.2">
      <c r="B43" s="8" t="str">
        <f>IF(Capex_and_Depreciation!F8&gt;Capex_and_Depreciation!E8,"Cash capex grows year over year: in line with guidance","Cash capex does not grow: outside guidance")</f>
        <v>Cash capex grows year over year: in line with guidance</v>
      </c>
      <c r="I43" s="2" t="str">
        <f>INDEX(tblGuidance[Wording],MATCH("G05",tblGuidance[ID],0))</f>
        <v>FY27 capital expenditures will grow year-over-year</v>
      </c>
    </row>
  </sheetData>
  <pageMargins left="0.75" right="0.75" top="1" bottom="1" header="0.5" footer="0.5"/>
  <pageSetup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74"/>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20" customWidth="1"/>
    <col min="2" max="2" width="66" customWidth="1"/>
    <col min="3" max="13" width="13" customWidth="1"/>
  </cols>
  <sheetData>
    <row r="1" spans="1:9" ht="19" x14ac:dyDescent="0.25">
      <c r="A1" s="1" t="s">
        <v>667</v>
      </c>
    </row>
    <row r="2" spans="1:9" x14ac:dyDescent="0.2">
      <c r="A2" s="2" t="s">
        <v>668</v>
      </c>
    </row>
    <row r="3" spans="1:9" x14ac:dyDescent="0.2">
      <c r="A3" s="3" t="s">
        <v>669</v>
      </c>
    </row>
    <row r="5" spans="1:9" x14ac:dyDescent="0.2">
      <c r="B5" s="4" t="str">
        <f>"Selected scenario: "&amp;Assumptions!C4</f>
        <v>Selected scenario: Base</v>
      </c>
    </row>
    <row r="6" spans="1:9" ht="30" x14ac:dyDescent="0.2">
      <c r="A6" s="7" t="s">
        <v>182</v>
      </c>
      <c r="B6" s="7" t="s">
        <v>183</v>
      </c>
      <c r="C6" s="7" t="s">
        <v>460</v>
      </c>
      <c r="D6" s="7" t="s">
        <v>461</v>
      </c>
      <c r="E6" s="7" t="s">
        <v>462</v>
      </c>
      <c r="F6" s="25" t="s">
        <v>598</v>
      </c>
      <c r="G6" s="7" t="s">
        <v>599</v>
      </c>
      <c r="H6" s="7" t="s">
        <v>600</v>
      </c>
      <c r="I6" s="7" t="s">
        <v>601</v>
      </c>
    </row>
    <row r="7" spans="1:9" x14ac:dyDescent="0.2">
      <c r="A7" s="4" t="s">
        <v>670</v>
      </c>
    </row>
    <row r="8" spans="1:9" x14ac:dyDescent="0.2">
      <c r="A8" s="8" t="s">
        <v>671</v>
      </c>
      <c r="B8" s="8" t="s">
        <v>672</v>
      </c>
      <c r="C8" s="14">
        <f>-SUM(INDEX(tblQ[[Q1 FY24]:[Q4 FY24]],MATCH("CAPEX_CASH",tblQ[Code],0),0))</f>
        <v>44477</v>
      </c>
      <c r="D8" s="14">
        <f>-SUM(INDEX(tblQ[[Q1 FY25]:[Q4 FY25]],MATCH("CAPEX_CASH",tblQ[Code],0),0))</f>
        <v>64551</v>
      </c>
      <c r="E8" s="14">
        <f>-SUM(INDEX(tblQ[[Q1 FY26]:[Q4 FY26]],MATCH("CAPEX_CASH",tblQ[Code],0),0))</f>
        <v>115948</v>
      </c>
      <c r="F8" s="14">
        <f>Assumptions!$G$13</f>
        <v>184000</v>
      </c>
      <c r="G8" s="15">
        <f>IF(D8=0,"n.m.",E8/D8-1)</f>
        <v>0.7962231413920775</v>
      </c>
      <c r="H8" s="15">
        <f>IF(E8=0,"n.m.",F8/E8-1)</f>
        <v>0.58691827370890404</v>
      </c>
      <c r="I8" s="2" t="s">
        <v>673</v>
      </c>
    </row>
    <row r="9" spans="1:9" x14ac:dyDescent="0.2">
      <c r="A9" s="8" t="s">
        <v>674</v>
      </c>
      <c r="B9" s="8" t="s">
        <v>675</v>
      </c>
      <c r="C9" s="14">
        <f>INDEX(tblAnnual[FY2024],MATCH("FL_ROU_OBTAINED",tblAnnual[Code],0))</f>
        <v>11633</v>
      </c>
      <c r="D9" s="14">
        <f>INDEX(tblAnnual[FY2025],MATCH("FL_ROU_OBTAINED",tblAnnual[Code],0))</f>
        <v>20511</v>
      </c>
      <c r="E9" s="14">
        <f>INDEX(tblAnnual[FY2026],MATCH("FL_ROU_OBTAINED",tblAnnual[Code],0))</f>
        <v>24608</v>
      </c>
      <c r="F9" s="14">
        <f>Assumptions!$G$14</f>
        <v>12000</v>
      </c>
      <c r="I9" s="2" t="s">
        <v>676</v>
      </c>
    </row>
    <row r="10" spans="1:9" x14ac:dyDescent="0.2">
      <c r="A10" s="8" t="s">
        <v>677</v>
      </c>
      <c r="B10" s="8" t="s">
        <v>678</v>
      </c>
      <c r="C10" s="14">
        <f>C8+C9</f>
        <v>56110</v>
      </c>
      <c r="D10" s="14">
        <f>D8+D9</f>
        <v>85062</v>
      </c>
      <c r="E10" s="14">
        <f>E8+E9</f>
        <v>140556</v>
      </c>
      <c r="F10" s="14">
        <f>Capex_and_Depreciation!$F$8+Capex_and_Depreciation!$F$9</f>
        <v>196000</v>
      </c>
      <c r="G10" s="15">
        <f>IF(D10=0,"n.m.",E10/D10-1)</f>
        <v>0.65239472384848707</v>
      </c>
      <c r="H10" s="15">
        <f>IF(E10=0,"n.m.",F10/E10-1)</f>
        <v>0.39446199379606695</v>
      </c>
    </row>
    <row r="11" spans="1:9" x14ac:dyDescent="0.2">
      <c r="A11" s="8" t="s">
        <v>679</v>
      </c>
      <c r="B11" s="8" t="s">
        <v>680</v>
      </c>
      <c r="C11" s="14">
        <f>SUM(INDEX(tblQ[[Q1 FY24]:[Q4 FY24]],MATCH("CAPEX_INCL_FL_BN",tblQ[Code],0),0))*1000</f>
        <v>55700</v>
      </c>
      <c r="D11" s="14">
        <f>SUM(INDEX(tblQ[[Q1 FY25]:[Q4 FY25]],MATCH("CAPEX_INCL_FL_BN",tblQ[Code],0),0))*1000</f>
        <v>88200</v>
      </c>
      <c r="E11" s="14">
        <f>SUM(INDEX(tblQ[[Q1 FY26]:[Q4 FY26]],MATCH("CAPEX_INCL_FL_BN",tblQ[Code],0),0))*1000</f>
        <v>145300</v>
      </c>
      <c r="F11" s="8" t="s">
        <v>173</v>
      </c>
    </row>
    <row r="12" spans="1:9" x14ac:dyDescent="0.2">
      <c r="A12" s="8" t="s">
        <v>681</v>
      </c>
      <c r="B12" s="8" t="s">
        <v>682</v>
      </c>
      <c r="C12" s="14">
        <f>C10-C11</f>
        <v>410</v>
      </c>
      <c r="D12" s="14">
        <f>D10-D11</f>
        <v>-3138</v>
      </c>
      <c r="E12" s="14">
        <f>E10-E11</f>
        <v>-4744</v>
      </c>
      <c r="F12" s="8" t="s">
        <v>173</v>
      </c>
      <c r="I12" s="2" t="s">
        <v>683</v>
      </c>
    </row>
    <row r="13" spans="1:9" x14ac:dyDescent="0.2">
      <c r="A13" s="8" t="s">
        <v>684</v>
      </c>
      <c r="B13" s="8" t="s">
        <v>685</v>
      </c>
      <c r="C13" s="15">
        <f>C8/Revenue_Forecast!C11</f>
        <v>0.18144842160230415</v>
      </c>
      <c r="D13" s="15">
        <f>D8/Revenue_Forecast!D11</f>
        <v>0.22912850875324786</v>
      </c>
      <c r="E13" s="15">
        <f>E8/Revenue_Forecast!E11</f>
        <v>0.34941040685392616</v>
      </c>
      <c r="F13" s="15">
        <f>Capex_and_Depreciation!$F$8/Revenue_Forecast!$F$11</f>
        <v>0.47610792124553963</v>
      </c>
    </row>
    <row r="14" spans="1:9" x14ac:dyDescent="0.2">
      <c r="A14" s="8" t="s">
        <v>686</v>
      </c>
      <c r="B14" s="8" t="s">
        <v>687</v>
      </c>
      <c r="C14" s="15">
        <f>C10/Revenue_Forecast!C11</f>
        <v>0.22890642210817472</v>
      </c>
      <c r="D14" s="15">
        <f>D10/Revenue_Forecast!D11</f>
        <v>0.3019338075563317</v>
      </c>
      <c r="E14" s="15">
        <f>E10/Revenue_Forecast!E11</f>
        <v>0.4235668501893991</v>
      </c>
      <c r="F14" s="15">
        <f>F10/Revenue_Forecast!F11</f>
        <v>0.50715843784850967</v>
      </c>
    </row>
    <row r="16" spans="1:9" x14ac:dyDescent="0.2">
      <c r="A16" s="4" t="s">
        <v>688</v>
      </c>
    </row>
    <row r="17" spans="1:9" x14ac:dyDescent="0.2">
      <c r="A17" s="8" t="s">
        <v>689</v>
      </c>
      <c r="B17" s="8" t="s">
        <v>690</v>
      </c>
      <c r="C17" s="14">
        <f>INDEX(tblAnnual[FY2023],MATCH("PPE_NET_YE",tblAnnual[Code],0))+INDEX(tblAnnual[FY2023],MATCH("PPE_ACCUM_YE",tblAnnual[Code],0))</f>
        <v>163892</v>
      </c>
      <c r="D17" s="14">
        <f>INDEX(tblAnnual[FY2024],MATCH("PPE_NET_YE",tblAnnual[Code],0))+INDEX(tblAnnual[FY2024],MATCH("PPE_ACCUM_YE",tblAnnual[Code],0))</f>
        <v>212012</v>
      </c>
      <c r="E17" s="14">
        <f>INDEX(tblAnnual[FY2025],MATCH("PPE_NET_YE",tblAnnual[Code],0))+INDEX(tblAnnual[FY2025],MATCH("PPE_ACCUM_YE",tblAnnual[Code],0))</f>
        <v>298619</v>
      </c>
      <c r="F17" s="14">
        <f>E22</f>
        <v>431767</v>
      </c>
    </row>
    <row r="18" spans="1:9" x14ac:dyDescent="0.2">
      <c r="A18" s="8" t="s">
        <v>691</v>
      </c>
      <c r="B18" s="8" t="s">
        <v>692</v>
      </c>
      <c r="C18" s="14">
        <f t="shared" ref="C18:F19" si="0">C8</f>
        <v>44477</v>
      </c>
      <c r="D18" s="14">
        <f t="shared" si="0"/>
        <v>64551</v>
      </c>
      <c r="E18" s="14">
        <f t="shared" si="0"/>
        <v>115948</v>
      </c>
      <c r="F18" s="14">
        <f t="shared" si="0"/>
        <v>184000</v>
      </c>
    </row>
    <row r="19" spans="1:9" x14ac:dyDescent="0.2">
      <c r="A19" s="8" t="s">
        <v>693</v>
      </c>
      <c r="B19" s="8" t="s">
        <v>694</v>
      </c>
      <c r="C19" s="14">
        <f t="shared" si="0"/>
        <v>11633</v>
      </c>
      <c r="D19" s="14">
        <f t="shared" si="0"/>
        <v>20511</v>
      </c>
      <c r="E19" s="14">
        <f t="shared" si="0"/>
        <v>24608</v>
      </c>
      <c r="F19" s="14">
        <f t="shared" si="0"/>
        <v>12000</v>
      </c>
    </row>
    <row r="20" spans="1:9" x14ac:dyDescent="0.2">
      <c r="A20" s="8" t="s">
        <v>695</v>
      </c>
      <c r="B20" s="8" t="s">
        <v>696</v>
      </c>
      <c r="C20" s="14">
        <f>C24-(C29-C28)</f>
        <v>7030</v>
      </c>
      <c r="D20" s="14">
        <f>D24-(D29-D28)</f>
        <v>4768</v>
      </c>
      <c r="E20" s="14">
        <f>E24-(E29-E28)</f>
        <v>9262</v>
      </c>
      <c r="F20" s="14">
        <f>Capex_and_Depreciation!$E$22*Assumptions!$G$15</f>
        <v>12953.01</v>
      </c>
      <c r="I20" s="2" t="s">
        <v>697</v>
      </c>
    </row>
    <row r="21" spans="1:9" x14ac:dyDescent="0.2">
      <c r="A21" s="8" t="s">
        <v>698</v>
      </c>
      <c r="B21" s="8" t="s">
        <v>699</v>
      </c>
      <c r="C21" s="14">
        <f>C22-C17-C18-C19+C20</f>
        <v>-960</v>
      </c>
      <c r="D21" s="14">
        <f>D22-D17-D18-D19+D20</f>
        <v>6313</v>
      </c>
      <c r="E21" s="14">
        <f>E22-E17-E18-E19+E20</f>
        <v>1854</v>
      </c>
      <c r="F21" s="14">
        <f>0</f>
        <v>0</v>
      </c>
      <c r="I21" s="2" t="s">
        <v>700</v>
      </c>
    </row>
    <row r="22" spans="1:9" x14ac:dyDescent="0.2">
      <c r="A22" s="8" t="s">
        <v>701</v>
      </c>
      <c r="B22" s="8" t="s">
        <v>702</v>
      </c>
      <c r="C22" s="14">
        <f>INDEX(tblAnnual[FY2024],MATCH("PPE_NET_YE",tblAnnual[Code],0))+INDEX(tblAnnual[FY2024],MATCH("PPE_ACCUM_YE",tblAnnual[Code],0))</f>
        <v>212012</v>
      </c>
      <c r="D22" s="14">
        <f>INDEX(tblAnnual[FY2025],MATCH("PPE_NET_YE",tblAnnual[Code],0))+INDEX(tblAnnual[FY2025],MATCH("PPE_ACCUM_YE",tblAnnual[Code],0))</f>
        <v>298619</v>
      </c>
      <c r="E22" s="14">
        <f>INDEX(tblAnnual[FY2026],MATCH("PPE_NET_YE",tblAnnual[Code],0))+INDEX(tblAnnual[FY2026],MATCH("PPE_ACCUM_YE",tblAnnual[Code],0))</f>
        <v>431767</v>
      </c>
      <c r="F22" s="14">
        <f>Capex_and_Depreciation!$E$22+Capex_and_Depreciation!$F$8+Capex_and_Depreciation!$F$9-Capex_and_Depreciation!$F$20</f>
        <v>614813.99</v>
      </c>
      <c r="G22" s="15">
        <f>IF(D22=0,"n.m.",E22/D22-1)</f>
        <v>0.44587919723795211</v>
      </c>
      <c r="H22" s="15">
        <f>IF(E22=0,"n.m.",F22/E22-1)</f>
        <v>0.42394854169030971</v>
      </c>
      <c r="I22" s="2" t="s">
        <v>703</v>
      </c>
    </row>
    <row r="23" spans="1:9" x14ac:dyDescent="0.2">
      <c r="A23" s="8" t="s">
        <v>704</v>
      </c>
      <c r="B23" s="8" t="s">
        <v>705</v>
      </c>
      <c r="C23" s="14">
        <f>AVERAGE(C17,C22)</f>
        <v>187952</v>
      </c>
      <c r="D23" s="14">
        <f>AVERAGE(D17,D22)</f>
        <v>255315.5</v>
      </c>
      <c r="E23" s="14">
        <f>AVERAGE(E17,E22)</f>
        <v>365193</v>
      </c>
      <c r="F23" s="14">
        <f>(Capex_and_Depreciation!$E$22+Capex_and_Depreciation!$F$22)/2</f>
        <v>523290.495</v>
      </c>
    </row>
    <row r="24" spans="1:9" x14ac:dyDescent="0.2">
      <c r="A24" s="8" t="s">
        <v>329</v>
      </c>
      <c r="B24" s="8" t="s">
        <v>706</v>
      </c>
      <c r="C24" s="14">
        <f>INDEX(tblAnnual[FY2024],MATCH("DEP_PPE",tblAnnual[Code],0))</f>
        <v>15200</v>
      </c>
      <c r="D24" s="14">
        <f>INDEX(tblAnnual[FY2025],MATCH("DEP_PPE",tblAnnual[Code],0))</f>
        <v>22000</v>
      </c>
      <c r="E24" s="14">
        <f>INDEX(tblAnnual[FY2026],MATCH("DEP_PPE",tblAnnual[Code],0))</f>
        <v>34300</v>
      </c>
      <c r="F24" s="14">
        <f>Capex_and_Depreciation!$F$23*Assumptions!$G$16</f>
        <v>51282.468509999999</v>
      </c>
      <c r="G24" s="15">
        <f>IF(D24=0,"n.m.",E24/D24-1)</f>
        <v>0.55909090909090908</v>
      </c>
      <c r="H24" s="15">
        <f>IF(E24=0,"n.m.",F24/E24-1)</f>
        <v>0.49511569999999994</v>
      </c>
      <c r="I24" s="2" t="s">
        <v>707</v>
      </c>
    </row>
    <row r="25" spans="1:9" x14ac:dyDescent="0.2">
      <c r="A25" s="8" t="s">
        <v>708</v>
      </c>
      <c r="B25" s="8" t="s">
        <v>709</v>
      </c>
      <c r="C25" s="28">
        <f>C24/C23</f>
        <v>8.0871711926449305E-2</v>
      </c>
      <c r="D25" s="28">
        <f>D24/D23</f>
        <v>8.6167898149544384E-2</v>
      </c>
      <c r="E25" s="28">
        <f>E24/E23</f>
        <v>9.3922939377260789E-2</v>
      </c>
      <c r="F25" s="28">
        <f>F24/F23</f>
        <v>9.8000000000000004E-2</v>
      </c>
    </row>
    <row r="26" spans="1:9" x14ac:dyDescent="0.2">
      <c r="A26" s="8" t="s">
        <v>710</v>
      </c>
      <c r="B26" s="8" t="s">
        <v>540</v>
      </c>
      <c r="C26" s="14">
        <f>C27-C24</f>
        <v>5758</v>
      </c>
      <c r="D26" s="14">
        <f>D27-D24</f>
        <v>7433</v>
      </c>
      <c r="E26" s="14">
        <f>E27-E24</f>
        <v>4234</v>
      </c>
      <c r="F26" s="14">
        <f>Assumptions!$G$17</f>
        <v>4000</v>
      </c>
      <c r="I26" s="2" t="s">
        <v>711</v>
      </c>
    </row>
    <row r="27" spans="1:9" x14ac:dyDescent="0.2">
      <c r="A27" s="8" t="s">
        <v>633</v>
      </c>
      <c r="B27" s="8" t="s">
        <v>634</v>
      </c>
      <c r="C27" s="14">
        <f>INDEX(tblAnnual[FY2024],MATCH("DA_CF",tblAnnual[Code],0))</f>
        <v>20958</v>
      </c>
      <c r="D27" s="14">
        <f>INDEX(tblAnnual[FY2025],MATCH("DA_CF",tblAnnual[Code],0))</f>
        <v>29433</v>
      </c>
      <c r="E27" s="14">
        <f>INDEX(tblAnnual[FY2026],MATCH("DA_CF",tblAnnual[Code],0))</f>
        <v>38534</v>
      </c>
      <c r="F27" s="14">
        <f>Capex_and_Depreciation!$F$24+Capex_and_Depreciation!$F$26</f>
        <v>55282.468509999999</v>
      </c>
      <c r="G27" s="15">
        <f>IF(D27=0,"n.m.",E27/D27-1)</f>
        <v>0.30921074983861652</v>
      </c>
      <c r="H27" s="15">
        <f>IF(E27=0,"n.m.",F27/E27-1)</f>
        <v>0.43464131701873665</v>
      </c>
      <c r="I27" s="2" t="s">
        <v>712</v>
      </c>
    </row>
    <row r="28" spans="1:9" x14ac:dyDescent="0.2">
      <c r="A28" s="8" t="s">
        <v>713</v>
      </c>
      <c r="B28" s="8" t="s">
        <v>714</v>
      </c>
      <c r="C28" s="14">
        <f>INDEX(tblAnnual[FY2023],MATCH("PPE_ACCUM_YE",tblAnnual[Code],0))</f>
        <v>68251</v>
      </c>
      <c r="D28" s="14">
        <f>INDEX(tblAnnual[FY2024],MATCH("PPE_ACCUM_YE",tblAnnual[Code],0))</f>
        <v>76421</v>
      </c>
      <c r="E28" s="14">
        <f>INDEX(tblAnnual[FY2025],MATCH("PPE_ACCUM_YE",tblAnnual[Code],0))</f>
        <v>93653</v>
      </c>
      <c r="F28" s="14">
        <f>E29</f>
        <v>118691</v>
      </c>
    </row>
    <row r="29" spans="1:9" x14ac:dyDescent="0.2">
      <c r="A29" s="8" t="s">
        <v>715</v>
      </c>
      <c r="B29" s="8" t="s">
        <v>716</v>
      </c>
      <c r="C29" s="14">
        <f>INDEX(tblAnnual[FY2024],MATCH("PPE_ACCUM_YE",tblAnnual[Code],0))</f>
        <v>76421</v>
      </c>
      <c r="D29" s="14">
        <f>INDEX(tblAnnual[FY2025],MATCH("PPE_ACCUM_YE",tblAnnual[Code],0))</f>
        <v>93653</v>
      </c>
      <c r="E29" s="14">
        <f>INDEX(tblAnnual[FY2026],MATCH("PPE_ACCUM_YE",tblAnnual[Code],0))</f>
        <v>118691</v>
      </c>
      <c r="F29" s="14">
        <f>Capex_and_Depreciation!$E$29+Capex_and_Depreciation!$F$24-Capex_and_Depreciation!$F$20</f>
        <v>157020.45851</v>
      </c>
      <c r="I29" s="2" t="s">
        <v>717</v>
      </c>
    </row>
    <row r="30" spans="1:9" x14ac:dyDescent="0.2">
      <c r="A30" s="8" t="s">
        <v>718</v>
      </c>
      <c r="B30" s="8" t="s">
        <v>719</v>
      </c>
      <c r="C30" s="14">
        <f>C22-C29</f>
        <v>135591</v>
      </c>
      <c r="D30" s="14">
        <f>D22-D29</f>
        <v>204966</v>
      </c>
      <c r="E30" s="14">
        <f>E22-E29</f>
        <v>313076</v>
      </c>
      <c r="F30" s="14">
        <f>Capex_and_Depreciation!$F$22-Capex_and_Depreciation!$F$29</f>
        <v>457793.53148999996</v>
      </c>
      <c r="G30" s="15">
        <f>IF(D30=0,"n.m.",E30/D30-1)</f>
        <v>0.527453333723642</v>
      </c>
      <c r="H30" s="15">
        <f>IF(E30=0,"n.m.",F30/E30-1)</f>
        <v>0.46224409245678344</v>
      </c>
    </row>
    <row r="31" spans="1:9" x14ac:dyDescent="0.2">
      <c r="A31" s="8" t="s">
        <v>720</v>
      </c>
      <c r="B31" s="8" t="s">
        <v>721</v>
      </c>
      <c r="C31" s="15">
        <f>C27/Revenue_Forecast!C11</f>
        <v>8.5500281492481289E-2</v>
      </c>
      <c r="D31" s="15">
        <f>D27/Revenue_Forecast!D11</f>
        <v>0.10447459215402309</v>
      </c>
      <c r="E31" s="15">
        <f>E27/Revenue_Forecast!E11</f>
        <v>0.11612257751499974</v>
      </c>
      <c r="F31" s="15">
        <f>F27/Revenue_Forecast!F11</f>
        <v>0.14304576719357665</v>
      </c>
    </row>
    <row r="32" spans="1:9" x14ac:dyDescent="0.2">
      <c r="A32" s="8" t="s">
        <v>722</v>
      </c>
      <c r="B32" s="8" t="s">
        <v>723</v>
      </c>
      <c r="C32" s="15">
        <f>C20/C17</f>
        <v>4.2894100993337077E-2</v>
      </c>
      <c r="D32" s="15">
        <f>D20/D17</f>
        <v>2.2489293058883461E-2</v>
      </c>
      <c r="E32" s="15">
        <f>E20/E17</f>
        <v>3.10161108301883E-2</v>
      </c>
      <c r="F32" s="15">
        <f>F20/F17</f>
        <v>0.03</v>
      </c>
    </row>
    <row r="34" spans="1:13" x14ac:dyDescent="0.2">
      <c r="A34" s="4" t="s">
        <v>724</v>
      </c>
    </row>
    <row r="35" spans="1:13" x14ac:dyDescent="0.2">
      <c r="A35" s="7"/>
      <c r="B35" s="7" t="s">
        <v>725</v>
      </c>
      <c r="C35" s="7" t="s">
        <v>311</v>
      </c>
      <c r="D35" s="7" t="s">
        <v>312</v>
      </c>
      <c r="E35" s="7" t="s">
        <v>726</v>
      </c>
      <c r="F35" s="7" t="s">
        <v>727</v>
      </c>
    </row>
    <row r="36" spans="1:13" x14ac:dyDescent="0.2">
      <c r="B36" s="8" t="s">
        <v>728</v>
      </c>
      <c r="C36" s="14">
        <f>INDEX(tblAnnual[FY2025],MATCH("PPE_LAND",tblAnnual[Code],0))</f>
        <v>9338</v>
      </c>
      <c r="D36" s="14">
        <f>INDEX(tblAnnual[FY2026],MATCH("PPE_LAND",tblAnnual[Code],0))</f>
        <v>10546</v>
      </c>
      <c r="E36" s="15">
        <f>D36/D41</f>
        <v>2.4425210819724527E-2</v>
      </c>
      <c r="F36" s="14">
        <f t="shared" ref="F36:F42" si="1">D36-C36</f>
        <v>1208</v>
      </c>
    </row>
    <row r="37" spans="1:13" x14ac:dyDescent="0.2">
      <c r="B37" s="8" t="s">
        <v>729</v>
      </c>
      <c r="C37" s="14">
        <f>INDEX(tblAnnual[FY2025],MATCH("PPE_BUILDINGS",tblAnnual[Code],0))</f>
        <v>137921</v>
      </c>
      <c r="D37" s="14">
        <f>INDEX(tblAnnual[FY2026],MATCH("PPE_BUILDINGS",tblAnnual[Code],0))</f>
        <v>182749</v>
      </c>
      <c r="E37" s="15">
        <f>D37/D41</f>
        <v>0.42325837778246139</v>
      </c>
      <c r="F37" s="14">
        <f t="shared" si="1"/>
        <v>44828</v>
      </c>
    </row>
    <row r="38" spans="1:13" x14ac:dyDescent="0.2">
      <c r="B38" s="8" t="s">
        <v>730</v>
      </c>
      <c r="C38" s="14">
        <f>INDEX(tblAnnual[FY2025],MATCH("PPE_LEASEHOLD",tblAnnual[Code],0))</f>
        <v>12117</v>
      </c>
      <c r="D38" s="14">
        <f>INDEX(tblAnnual[FY2026],MATCH("PPE_LEASEHOLD",tblAnnual[Code],0))</f>
        <v>16348</v>
      </c>
      <c r="E38" s="15">
        <f>D38/D41</f>
        <v>3.7863014079352983E-2</v>
      </c>
      <c r="F38" s="14">
        <f t="shared" si="1"/>
        <v>4231</v>
      </c>
    </row>
    <row r="39" spans="1:13" x14ac:dyDescent="0.2">
      <c r="B39" s="8" t="s">
        <v>731</v>
      </c>
      <c r="C39" s="14">
        <f>INDEX(tblAnnual[FY2025],MATCH("PPE_SERVERS",tblAnnual[Code],0))</f>
        <v>132836</v>
      </c>
      <c r="D39" s="14">
        <f>INDEX(tblAnnual[FY2026],MATCH("PPE_SERVERS",tblAnnual[Code],0))</f>
        <v>215874</v>
      </c>
      <c r="E39" s="15">
        <f>D39/D41</f>
        <v>0.49997799739211196</v>
      </c>
      <c r="F39" s="14">
        <f t="shared" si="1"/>
        <v>83038</v>
      </c>
    </row>
    <row r="40" spans="1:13" x14ac:dyDescent="0.2">
      <c r="B40" s="8" t="s">
        <v>732</v>
      </c>
      <c r="C40" s="14">
        <f>INDEX(tblAnnual[FY2025],MATCH("PPE_FURNITURE",tblAnnual[Code],0))</f>
        <v>6407</v>
      </c>
      <c r="D40" s="14">
        <f>INDEX(tblAnnual[FY2026],MATCH("PPE_FURNITURE",tblAnnual[Code],0))</f>
        <v>6250</v>
      </c>
      <c r="E40" s="15">
        <f>D40/D41</f>
        <v>1.4475399926349166E-2</v>
      </c>
      <c r="F40" s="14">
        <f t="shared" si="1"/>
        <v>-157</v>
      </c>
    </row>
    <row r="41" spans="1:13" x14ac:dyDescent="0.2">
      <c r="B41" s="4" t="s">
        <v>733</v>
      </c>
      <c r="C41" s="14">
        <f>INDEX(tblAnnual[FY2025],MATCH("PPE_TOTAL_COST",tblAnnual[Code],0))</f>
        <v>298619</v>
      </c>
      <c r="D41" s="14">
        <f>INDEX(tblAnnual[FY2026],MATCH("PPE_TOTAL_COST",tblAnnual[Code],0))</f>
        <v>431767</v>
      </c>
      <c r="E41" s="15">
        <f>D41/D41</f>
        <v>1</v>
      </c>
      <c r="F41" s="14">
        <f t="shared" si="1"/>
        <v>133148</v>
      </c>
    </row>
    <row r="42" spans="1:13" x14ac:dyDescent="0.2">
      <c r="B42" s="8" t="s">
        <v>734</v>
      </c>
      <c r="C42" s="14">
        <f>INDEX(tblAnnual[FY2025],MATCH("FL_PPE_COST",tblAnnual[Code],0))</f>
        <v>53876</v>
      </c>
      <c r="D42" s="14">
        <f>INDEX(tblAnnual[FY2026],MATCH("FL_PPE_COST",tblAnnual[Code],0))</f>
        <v>82712</v>
      </c>
      <c r="E42" s="15">
        <f>D42/D41</f>
        <v>0.19156628459331074</v>
      </c>
      <c r="F42" s="14">
        <f t="shared" si="1"/>
        <v>28836</v>
      </c>
    </row>
    <row r="45" spans="1:13" x14ac:dyDescent="0.2">
      <c r="A45" s="4" t="s">
        <v>735</v>
      </c>
    </row>
    <row r="46" spans="1:13" x14ac:dyDescent="0.2">
      <c r="A46" s="2" t="s">
        <v>736</v>
      </c>
    </row>
    <row r="47" spans="1:13" x14ac:dyDescent="0.2">
      <c r="A47" s="7"/>
      <c r="B47" s="7" t="s">
        <v>737</v>
      </c>
      <c r="C47" s="7" t="s">
        <v>383</v>
      </c>
      <c r="D47" s="7" t="s">
        <v>738</v>
      </c>
      <c r="E47" s="7" t="s">
        <v>739</v>
      </c>
      <c r="F47" s="7" t="s">
        <v>740</v>
      </c>
      <c r="G47" s="7" t="s">
        <v>741</v>
      </c>
      <c r="H47" s="7" t="s">
        <v>742</v>
      </c>
      <c r="I47" s="7" t="s">
        <v>743</v>
      </c>
      <c r="J47" s="7" t="s">
        <v>744</v>
      </c>
      <c r="K47" s="7" t="s">
        <v>745</v>
      </c>
      <c r="L47" s="7" t="s">
        <v>746</v>
      </c>
      <c r="M47" s="7" t="s">
        <v>747</v>
      </c>
    </row>
    <row r="48" spans="1:13" x14ac:dyDescent="0.2">
      <c r="B48" s="8" t="s">
        <v>748</v>
      </c>
      <c r="C48" s="29">
        <f t="shared" ref="C48:L48" si="2">COLUMN()-2</f>
        <v>1</v>
      </c>
      <c r="D48" s="29">
        <f t="shared" si="2"/>
        <v>2</v>
      </c>
      <c r="E48" s="29">
        <f t="shared" si="2"/>
        <v>3</v>
      </c>
      <c r="F48" s="29">
        <f t="shared" si="2"/>
        <v>4</v>
      </c>
      <c r="G48" s="29">
        <f t="shared" si="2"/>
        <v>5</v>
      </c>
      <c r="H48" s="29">
        <f t="shared" si="2"/>
        <v>6</v>
      </c>
      <c r="I48" s="29">
        <f t="shared" si="2"/>
        <v>7</v>
      </c>
      <c r="J48" s="29">
        <f t="shared" si="2"/>
        <v>8</v>
      </c>
      <c r="K48" s="29">
        <f t="shared" si="2"/>
        <v>9</v>
      </c>
      <c r="L48" s="29">
        <f t="shared" si="2"/>
        <v>10</v>
      </c>
    </row>
    <row r="49" spans="1:13" x14ac:dyDescent="0.2">
      <c r="B49" s="8" t="s">
        <v>749</v>
      </c>
      <c r="C49" s="14">
        <f>IF(C$48=1,Assumptions!$D$29,0)</f>
        <v>20000</v>
      </c>
      <c r="D49" s="14">
        <f>IF(D$48=1,Assumptions!$D$29,0)</f>
        <v>0</v>
      </c>
      <c r="E49" s="14">
        <f>IF(E$48=1,Assumptions!$D$29,0)</f>
        <v>0</v>
      </c>
      <c r="F49" s="14">
        <f>IF(F$48=1,Assumptions!$D$29,0)</f>
        <v>0</v>
      </c>
      <c r="G49" s="14">
        <f>IF(G$48=1,Assumptions!$D$29,0)</f>
        <v>0</v>
      </c>
      <c r="H49" s="14">
        <f>IF(H$48=1,Assumptions!$D$29,0)</f>
        <v>0</v>
      </c>
      <c r="I49" s="14">
        <f>IF(I$48=1,Assumptions!$D$29,0)</f>
        <v>0</v>
      </c>
      <c r="J49" s="14">
        <f>IF(J$48=1,Assumptions!$D$29,0)</f>
        <v>0</v>
      </c>
      <c r="K49" s="14">
        <f>IF(K$48=1,Assumptions!$D$29,0)</f>
        <v>0</v>
      </c>
      <c r="L49" s="14">
        <f>IF(L$48=1,Assumptions!$D$29,0)</f>
        <v>0</v>
      </c>
      <c r="M49" s="21">
        <f>SUM(C49:L49)</f>
        <v>20000</v>
      </c>
    </row>
    <row r="50" spans="1:13" x14ac:dyDescent="0.2">
      <c r="B50" s="8" t="s">
        <v>750</v>
      </c>
      <c r="C50" s="14">
        <f>(Assumptions!$D$29*Assumptions!$D$30)/Assumptions!$D$31*MAX(0,MIN(C$48,Assumptions!$D$31+Assumptions!$D$33)-MAX(C$48-1,Assumptions!$D$33))</f>
        <v>1116.6666666666667</v>
      </c>
      <c r="D50" s="14">
        <f>(Assumptions!$D$29*Assumptions!$D$30)/Assumptions!$D$31*MAX(0,MIN(D$48,Assumptions!$D$31+Assumptions!$D$33)-MAX(D$48-1,Assumptions!$D$33))</f>
        <v>2233.3333333333335</v>
      </c>
      <c r="E50" s="14">
        <f>(Assumptions!$D$29*Assumptions!$D$30)/Assumptions!$D$31*MAX(0,MIN(E$48,Assumptions!$D$31+Assumptions!$D$33)-MAX(E$48-1,Assumptions!$D$33))</f>
        <v>2233.3333333333335</v>
      </c>
      <c r="F50" s="14">
        <f>(Assumptions!$D$29*Assumptions!$D$30)/Assumptions!$D$31*MAX(0,MIN(F$48,Assumptions!$D$31+Assumptions!$D$33)-MAX(F$48-1,Assumptions!$D$33))</f>
        <v>2233.3333333333335</v>
      </c>
      <c r="G50" s="14">
        <f>(Assumptions!$D$29*Assumptions!$D$30)/Assumptions!$D$31*MAX(0,MIN(G$48,Assumptions!$D$31+Assumptions!$D$33)-MAX(G$48-1,Assumptions!$D$33))</f>
        <v>2233.3333333333335</v>
      </c>
      <c r="H50" s="14">
        <f>(Assumptions!$D$29*Assumptions!$D$30)/Assumptions!$D$31*MAX(0,MIN(H$48,Assumptions!$D$31+Assumptions!$D$33)-MAX(H$48-1,Assumptions!$D$33))</f>
        <v>2233.3333333333335</v>
      </c>
      <c r="I50" s="14">
        <f>(Assumptions!$D$29*Assumptions!$D$30)/Assumptions!$D$31*MAX(0,MIN(I$48,Assumptions!$D$31+Assumptions!$D$33)-MAX(I$48-1,Assumptions!$D$33))</f>
        <v>1116.6666666666667</v>
      </c>
      <c r="J50" s="14">
        <f>(Assumptions!$D$29*Assumptions!$D$30)/Assumptions!$D$31*MAX(0,MIN(J$48,Assumptions!$D$31+Assumptions!$D$33)-MAX(J$48-1,Assumptions!$D$33))</f>
        <v>0</v>
      </c>
      <c r="K50" s="14">
        <f>(Assumptions!$D$29*Assumptions!$D$30)/Assumptions!$D$31*MAX(0,MIN(K$48,Assumptions!$D$31+Assumptions!$D$33)-MAX(K$48-1,Assumptions!$D$33))</f>
        <v>0</v>
      </c>
      <c r="L50" s="14">
        <f>(Assumptions!$D$29*Assumptions!$D$30)/Assumptions!$D$31*MAX(0,MIN(L$48,Assumptions!$D$31+Assumptions!$D$33)-MAX(L$48-1,Assumptions!$D$33))</f>
        <v>0</v>
      </c>
      <c r="M50" s="21">
        <f>SUM(C50:L50)</f>
        <v>13400.000000000002</v>
      </c>
    </row>
    <row r="51" spans="1:13" x14ac:dyDescent="0.2">
      <c r="B51" s="8" t="s">
        <v>751</v>
      </c>
      <c r="C51" s="14">
        <f>(Assumptions!$D$29*(1-Assumptions!$D$30))/Assumptions!$D$32*MAX(0,MIN(C$48,Assumptions!$D$32+Assumptions!$D$33)-MAX(C$48-1,Assumptions!$D$33))</f>
        <v>131.99999999999997</v>
      </c>
      <c r="D51" s="14">
        <f>(Assumptions!$D$29*(1-Assumptions!$D$30))/Assumptions!$D$32*MAX(0,MIN(D$48,Assumptions!$D$32+Assumptions!$D$33)-MAX(D$48-1,Assumptions!$D$33))</f>
        <v>263.99999999999994</v>
      </c>
      <c r="E51" s="14">
        <f>(Assumptions!$D$29*(1-Assumptions!$D$30))/Assumptions!$D$32*MAX(0,MIN(E$48,Assumptions!$D$32+Assumptions!$D$33)-MAX(E$48-1,Assumptions!$D$33))</f>
        <v>263.99999999999994</v>
      </c>
      <c r="F51" s="14">
        <f>(Assumptions!$D$29*(1-Assumptions!$D$30))/Assumptions!$D$32*MAX(0,MIN(F$48,Assumptions!$D$32+Assumptions!$D$33)-MAX(F$48-1,Assumptions!$D$33))</f>
        <v>263.99999999999994</v>
      </c>
      <c r="G51" s="14">
        <f>(Assumptions!$D$29*(1-Assumptions!$D$30))/Assumptions!$D$32*MAX(0,MIN(G$48,Assumptions!$D$32+Assumptions!$D$33)-MAX(G$48-1,Assumptions!$D$33))</f>
        <v>263.99999999999994</v>
      </c>
      <c r="H51" s="14">
        <f>(Assumptions!$D$29*(1-Assumptions!$D$30))/Assumptions!$D$32*MAX(0,MIN(H$48,Assumptions!$D$32+Assumptions!$D$33)-MAX(H$48-1,Assumptions!$D$33))</f>
        <v>263.99999999999994</v>
      </c>
      <c r="I51" s="14">
        <f>(Assumptions!$D$29*(1-Assumptions!$D$30))/Assumptions!$D$32*MAX(0,MIN(I$48,Assumptions!$D$32+Assumptions!$D$33)-MAX(I$48-1,Assumptions!$D$33))</f>
        <v>263.99999999999994</v>
      </c>
      <c r="J51" s="14">
        <f>(Assumptions!$D$29*(1-Assumptions!$D$30))/Assumptions!$D$32*MAX(0,MIN(J$48,Assumptions!$D$32+Assumptions!$D$33)-MAX(J$48-1,Assumptions!$D$33))</f>
        <v>263.99999999999994</v>
      </c>
      <c r="K51" s="14">
        <f>(Assumptions!$D$29*(1-Assumptions!$D$30))/Assumptions!$D$32*MAX(0,MIN(K$48,Assumptions!$D$32+Assumptions!$D$33)-MAX(K$48-1,Assumptions!$D$33))</f>
        <v>263.99999999999994</v>
      </c>
      <c r="L51" s="14">
        <f>(Assumptions!$D$29*(1-Assumptions!$D$30))/Assumptions!$D$32*MAX(0,MIN(L$48,Assumptions!$D$32+Assumptions!$D$33)-MAX(L$48-1,Assumptions!$D$33))</f>
        <v>263.99999999999994</v>
      </c>
      <c r="M51" s="21">
        <f>SUM(C51:L51)</f>
        <v>2507.9999999999995</v>
      </c>
    </row>
    <row r="52" spans="1:13" x14ac:dyDescent="0.2">
      <c r="B52" s="4" t="s">
        <v>752</v>
      </c>
      <c r="C52" s="21">
        <f t="shared" ref="C52:L52" si="3">C50+C51</f>
        <v>1248.6666666666667</v>
      </c>
      <c r="D52" s="21">
        <f t="shared" si="3"/>
        <v>2497.3333333333335</v>
      </c>
      <c r="E52" s="21">
        <f t="shared" si="3"/>
        <v>2497.3333333333335</v>
      </c>
      <c r="F52" s="21">
        <f t="shared" si="3"/>
        <v>2497.3333333333335</v>
      </c>
      <c r="G52" s="21">
        <f t="shared" si="3"/>
        <v>2497.3333333333335</v>
      </c>
      <c r="H52" s="21">
        <f t="shared" si="3"/>
        <v>2497.3333333333335</v>
      </c>
      <c r="I52" s="21">
        <f t="shared" si="3"/>
        <v>1380.6666666666667</v>
      </c>
      <c r="J52" s="21">
        <f t="shared" si="3"/>
        <v>263.99999999999994</v>
      </c>
      <c r="K52" s="21">
        <f t="shared" si="3"/>
        <v>263.99999999999994</v>
      </c>
      <c r="L52" s="21">
        <f t="shared" si="3"/>
        <v>263.99999999999994</v>
      </c>
      <c r="M52" s="21">
        <f>SUM(C52:L52)</f>
        <v>15908.000000000002</v>
      </c>
    </row>
    <row r="53" spans="1:13" x14ac:dyDescent="0.2">
      <c r="B53" s="8" t="s">
        <v>753</v>
      </c>
      <c r="C53" s="14">
        <f>C52</f>
        <v>1248.6666666666667</v>
      </c>
      <c r="D53" s="14">
        <f t="shared" ref="D53:L53" si="4">D52+C53</f>
        <v>3746</v>
      </c>
      <c r="E53" s="14">
        <f t="shared" si="4"/>
        <v>6243.3333333333339</v>
      </c>
      <c r="F53" s="14">
        <f t="shared" si="4"/>
        <v>8740.6666666666679</v>
      </c>
      <c r="G53" s="14">
        <f t="shared" si="4"/>
        <v>11238.000000000002</v>
      </c>
      <c r="H53" s="14">
        <f t="shared" si="4"/>
        <v>13735.333333333336</v>
      </c>
      <c r="I53" s="14">
        <f t="shared" si="4"/>
        <v>15116.000000000002</v>
      </c>
      <c r="J53" s="14">
        <f t="shared" si="4"/>
        <v>15380.000000000002</v>
      </c>
      <c r="K53" s="14">
        <f t="shared" si="4"/>
        <v>15644.000000000002</v>
      </c>
      <c r="L53" s="14">
        <f t="shared" si="4"/>
        <v>15908.000000000002</v>
      </c>
    </row>
    <row r="54" spans="1:13" x14ac:dyDescent="0.2">
      <c r="B54" s="8" t="s">
        <v>754</v>
      </c>
      <c r="C54" s="14">
        <f>Assumptions!$D$29-C53</f>
        <v>18751.333333333332</v>
      </c>
      <c r="D54" s="14">
        <f>Assumptions!$D$29-D53</f>
        <v>16254</v>
      </c>
      <c r="E54" s="14">
        <f>Assumptions!$D$29-E53</f>
        <v>13756.666666666666</v>
      </c>
      <c r="F54" s="14">
        <f>Assumptions!$D$29-F53</f>
        <v>11259.333333333332</v>
      </c>
      <c r="G54" s="14">
        <f>Assumptions!$D$29-G53</f>
        <v>8761.9999999999982</v>
      </c>
      <c r="H54" s="14">
        <f>Assumptions!$D$29-H53</f>
        <v>6264.6666666666642</v>
      </c>
      <c r="I54" s="14">
        <f>Assumptions!$D$29-I53</f>
        <v>4883.9999999999982</v>
      </c>
      <c r="J54" s="14">
        <f>Assumptions!$D$29-J53</f>
        <v>4619.9999999999982</v>
      </c>
      <c r="K54" s="14">
        <f>Assumptions!$D$29-K53</f>
        <v>4355.9999999999982</v>
      </c>
      <c r="L54" s="14">
        <f>Assumptions!$D$29-L53</f>
        <v>4091.9999999999982</v>
      </c>
    </row>
    <row r="55" spans="1:13" x14ac:dyDescent="0.2">
      <c r="B55" s="8" t="s">
        <v>755</v>
      </c>
      <c r="C55" s="30">
        <f>MAX(0,MIN(C$48,Assumptions!$D$31+Assumptions!$D$33)-MAX(C$48-1,Assumptions!$D$33))</f>
        <v>0.5</v>
      </c>
      <c r="D55" s="30">
        <f>MAX(0,MIN(D$48,Assumptions!$D$31+Assumptions!$D$33)-MAX(D$48-1,Assumptions!$D$33))</f>
        <v>1</v>
      </c>
      <c r="E55" s="30">
        <f>MAX(0,MIN(E$48,Assumptions!$D$31+Assumptions!$D$33)-MAX(E$48-1,Assumptions!$D$33))</f>
        <v>1</v>
      </c>
      <c r="F55" s="30">
        <f>MAX(0,MIN(F$48,Assumptions!$D$31+Assumptions!$D$33)-MAX(F$48-1,Assumptions!$D$33))</f>
        <v>1</v>
      </c>
      <c r="G55" s="30">
        <f>MAX(0,MIN(G$48,Assumptions!$D$31+Assumptions!$D$33)-MAX(G$48-1,Assumptions!$D$33))</f>
        <v>1</v>
      </c>
      <c r="H55" s="30">
        <f>MAX(0,MIN(H$48,Assumptions!$D$31+Assumptions!$D$33)-MAX(H$48-1,Assumptions!$D$33))</f>
        <v>1</v>
      </c>
      <c r="I55" s="30">
        <f>MAX(0,MIN(I$48,Assumptions!$D$31+Assumptions!$D$33)-MAX(I$48-1,Assumptions!$D$33))</f>
        <v>0.5</v>
      </c>
      <c r="J55" s="30">
        <f>MAX(0,MIN(J$48,Assumptions!$D$31+Assumptions!$D$33)-MAX(J$48-1,Assumptions!$D$33))</f>
        <v>0</v>
      </c>
      <c r="K55" s="30">
        <f>MAX(0,MIN(K$48,Assumptions!$D$31+Assumptions!$D$33)-MAX(K$48-1,Assumptions!$D$33))</f>
        <v>0</v>
      </c>
      <c r="L55" s="30">
        <f>MAX(0,MIN(L$48,Assumptions!$D$31+Assumptions!$D$33)-MAX(L$48-1,Assumptions!$D$33))</f>
        <v>0</v>
      </c>
      <c r="M55" s="31">
        <f t="shared" ref="M55:M60" si="5">SUM(C55:L55)</f>
        <v>6</v>
      </c>
    </row>
    <row r="56" spans="1:13" x14ac:dyDescent="0.2">
      <c r="B56" s="8" t="s">
        <v>756</v>
      </c>
      <c r="C56" s="14">
        <f>Assumptions!$D$34*Assumptions!$D$29*C55</f>
        <v>4000</v>
      </c>
      <c r="D56" s="14">
        <f>Assumptions!$D$34*Assumptions!$D$29*D55</f>
        <v>8000</v>
      </c>
      <c r="E56" s="14">
        <f>Assumptions!$D$34*Assumptions!$D$29*E55</f>
        <v>8000</v>
      </c>
      <c r="F56" s="14">
        <f>Assumptions!$D$34*Assumptions!$D$29*F55</f>
        <v>8000</v>
      </c>
      <c r="G56" s="14">
        <f>Assumptions!$D$34*Assumptions!$D$29*G55</f>
        <v>8000</v>
      </c>
      <c r="H56" s="14">
        <f>Assumptions!$D$34*Assumptions!$D$29*H55</f>
        <v>8000</v>
      </c>
      <c r="I56" s="14">
        <f>Assumptions!$D$34*Assumptions!$D$29*I55</f>
        <v>4000</v>
      </c>
      <c r="J56" s="14">
        <f>Assumptions!$D$34*Assumptions!$D$29*J55</f>
        <v>0</v>
      </c>
      <c r="K56" s="14">
        <f>Assumptions!$D$34*Assumptions!$D$29*K55</f>
        <v>0</v>
      </c>
      <c r="L56" s="14">
        <f>Assumptions!$D$34*Assumptions!$D$29*L55</f>
        <v>0</v>
      </c>
      <c r="M56" s="21">
        <f t="shared" si="5"/>
        <v>48000</v>
      </c>
    </row>
    <row r="57" spans="1:13" x14ac:dyDescent="0.2">
      <c r="B57" s="8" t="s">
        <v>757</v>
      </c>
      <c r="C57" s="14">
        <f>C56*Assumptions!$D$35</f>
        <v>2400</v>
      </c>
      <c r="D57" s="14">
        <f>D56*Assumptions!$D$35</f>
        <v>4800</v>
      </c>
      <c r="E57" s="14">
        <f>E56*Assumptions!$D$35</f>
        <v>4800</v>
      </c>
      <c r="F57" s="14">
        <f>F56*Assumptions!$D$35</f>
        <v>4800</v>
      </c>
      <c r="G57" s="14">
        <f>G56*Assumptions!$D$35</f>
        <v>4800</v>
      </c>
      <c r="H57" s="14">
        <f>H56*Assumptions!$D$35</f>
        <v>4800</v>
      </c>
      <c r="I57" s="14">
        <f>I56*Assumptions!$D$35</f>
        <v>2400</v>
      </c>
      <c r="J57" s="14">
        <f>J56*Assumptions!$D$35</f>
        <v>0</v>
      </c>
      <c r="K57" s="14">
        <f>K56*Assumptions!$D$35</f>
        <v>0</v>
      </c>
      <c r="L57" s="14">
        <f>L56*Assumptions!$D$35</f>
        <v>0</v>
      </c>
      <c r="M57" s="21">
        <f t="shared" si="5"/>
        <v>28800</v>
      </c>
    </row>
    <row r="58" spans="1:13" x14ac:dyDescent="0.2">
      <c r="B58" s="8" t="s">
        <v>758</v>
      </c>
      <c r="C58" s="14">
        <f t="shared" ref="C58:L58" si="6">C57-C52</f>
        <v>1151.3333333333333</v>
      </c>
      <c r="D58" s="14">
        <f t="shared" si="6"/>
        <v>2302.6666666666665</v>
      </c>
      <c r="E58" s="14">
        <f t="shared" si="6"/>
        <v>2302.6666666666665</v>
      </c>
      <c r="F58" s="14">
        <f t="shared" si="6"/>
        <v>2302.6666666666665</v>
      </c>
      <c r="G58" s="14">
        <f t="shared" si="6"/>
        <v>2302.6666666666665</v>
      </c>
      <c r="H58" s="14">
        <f t="shared" si="6"/>
        <v>2302.6666666666665</v>
      </c>
      <c r="I58" s="14">
        <f t="shared" si="6"/>
        <v>1019.3333333333333</v>
      </c>
      <c r="J58" s="14">
        <f t="shared" si="6"/>
        <v>-263.99999999999994</v>
      </c>
      <c r="K58" s="14">
        <f t="shared" si="6"/>
        <v>-263.99999999999994</v>
      </c>
      <c r="L58" s="14">
        <f t="shared" si="6"/>
        <v>-263.99999999999994</v>
      </c>
      <c r="M58" s="21">
        <f t="shared" si="5"/>
        <v>12891.999999999998</v>
      </c>
    </row>
    <row r="59" spans="1:13" x14ac:dyDescent="0.2">
      <c r="B59" s="8" t="s">
        <v>759</v>
      </c>
      <c r="C59" s="14">
        <f>C58*Assumptions!$D$36</f>
        <v>230.26666666666665</v>
      </c>
      <c r="D59" s="14">
        <f>D58*Assumptions!$D$36</f>
        <v>460.5333333333333</v>
      </c>
      <c r="E59" s="14">
        <f>E58*Assumptions!$D$36</f>
        <v>460.5333333333333</v>
      </c>
      <c r="F59" s="14">
        <f>F58*Assumptions!$D$36</f>
        <v>460.5333333333333</v>
      </c>
      <c r="G59" s="14">
        <f>G58*Assumptions!$D$36</f>
        <v>460.5333333333333</v>
      </c>
      <c r="H59" s="14">
        <f>H58*Assumptions!$D$36</f>
        <v>460.5333333333333</v>
      </c>
      <c r="I59" s="14">
        <f>I58*Assumptions!$D$36</f>
        <v>203.86666666666667</v>
      </c>
      <c r="J59" s="14">
        <f>J58*Assumptions!$D$36</f>
        <v>-52.79999999999999</v>
      </c>
      <c r="K59" s="14">
        <f>K58*Assumptions!$D$36</f>
        <v>-52.79999999999999</v>
      </c>
      <c r="L59" s="14">
        <f>L58*Assumptions!$D$36</f>
        <v>-52.79999999999999</v>
      </c>
      <c r="M59" s="21">
        <f t="shared" si="5"/>
        <v>2578.3999999999992</v>
      </c>
    </row>
    <row r="60" spans="1:13" x14ac:dyDescent="0.2">
      <c r="B60" s="4" t="s">
        <v>760</v>
      </c>
      <c r="C60" s="21">
        <f t="shared" ref="C60:L60" si="7">C57-C59-C49</f>
        <v>-17830.266666666666</v>
      </c>
      <c r="D60" s="21">
        <f t="shared" si="7"/>
        <v>4339.4666666666672</v>
      </c>
      <c r="E60" s="21">
        <f t="shared" si="7"/>
        <v>4339.4666666666672</v>
      </c>
      <c r="F60" s="21">
        <f t="shared" si="7"/>
        <v>4339.4666666666672</v>
      </c>
      <c r="G60" s="21">
        <f t="shared" si="7"/>
        <v>4339.4666666666672</v>
      </c>
      <c r="H60" s="21">
        <f t="shared" si="7"/>
        <v>4339.4666666666672</v>
      </c>
      <c r="I60" s="21">
        <f t="shared" si="7"/>
        <v>2196.1333333333332</v>
      </c>
      <c r="J60" s="21">
        <f t="shared" si="7"/>
        <v>52.79999999999999</v>
      </c>
      <c r="K60" s="21">
        <f t="shared" si="7"/>
        <v>52.79999999999999</v>
      </c>
      <c r="L60" s="21">
        <f t="shared" si="7"/>
        <v>52.79999999999999</v>
      </c>
      <c r="M60" s="21">
        <f t="shared" si="5"/>
        <v>6221.6000000000031</v>
      </c>
    </row>
    <row r="61" spans="1:13" x14ac:dyDescent="0.2">
      <c r="B61" s="4" t="s">
        <v>761</v>
      </c>
      <c r="C61" s="21">
        <f>C60</f>
        <v>-17830.266666666666</v>
      </c>
      <c r="D61" s="21">
        <f t="shared" ref="D61:L61" si="8">D60+C61</f>
        <v>-13490.8</v>
      </c>
      <c r="E61" s="21">
        <f t="shared" si="8"/>
        <v>-9151.3333333333321</v>
      </c>
      <c r="F61" s="21">
        <f t="shared" si="8"/>
        <v>-4811.866666666665</v>
      </c>
      <c r="G61" s="21">
        <f t="shared" si="8"/>
        <v>-472.39999999999782</v>
      </c>
      <c r="H61" s="21">
        <f t="shared" si="8"/>
        <v>3867.0666666666693</v>
      </c>
      <c r="I61" s="21">
        <f t="shared" si="8"/>
        <v>6063.2000000000025</v>
      </c>
      <c r="J61" s="21">
        <f t="shared" si="8"/>
        <v>6116.0000000000027</v>
      </c>
      <c r="K61" s="21">
        <f t="shared" si="8"/>
        <v>6168.8000000000029</v>
      </c>
      <c r="L61" s="21">
        <f t="shared" si="8"/>
        <v>6221.6000000000031</v>
      </c>
    </row>
    <row r="63" spans="1:13" x14ac:dyDescent="0.2">
      <c r="A63" s="4" t="s">
        <v>762</v>
      </c>
    </row>
    <row r="64" spans="1:13" x14ac:dyDescent="0.2">
      <c r="B64" s="8" t="s">
        <v>763</v>
      </c>
      <c r="C64" s="21">
        <f>C60</f>
        <v>-17830.266666666666</v>
      </c>
    </row>
    <row r="65" spans="2:3" x14ac:dyDescent="0.2">
      <c r="B65" s="8" t="s">
        <v>764</v>
      </c>
      <c r="C65" s="21">
        <f>C58</f>
        <v>1151.3333333333333</v>
      </c>
    </row>
    <row r="66" spans="2:3" x14ac:dyDescent="0.2">
      <c r="B66" s="8" t="s">
        <v>765</v>
      </c>
      <c r="C66" s="21">
        <f>D52</f>
        <v>2497.3333333333335</v>
      </c>
    </row>
    <row r="67" spans="2:3" x14ac:dyDescent="0.2">
      <c r="B67" s="8" t="s">
        <v>766</v>
      </c>
      <c r="C67" s="21">
        <f>L54</f>
        <v>4091.9999999999982</v>
      </c>
    </row>
    <row r="68" spans="2:3" x14ac:dyDescent="0.2">
      <c r="B68" s="8" t="s">
        <v>767</v>
      </c>
      <c r="C68" s="21">
        <f>L61</f>
        <v>6221.6000000000031</v>
      </c>
    </row>
    <row r="69" spans="2:3" x14ac:dyDescent="0.2">
      <c r="B69" s="8" t="s">
        <v>768</v>
      </c>
      <c r="C69" s="4" t="str">
        <f>IFERROR(INDEX(C47:L47,MATCH(TRUE,INDEX(C61:L61&gt;=0,0),0)),"after FY2036")</f>
        <v>FY2032</v>
      </c>
    </row>
    <row r="70" spans="2:3" x14ac:dyDescent="0.2">
      <c r="B70" s="8" t="s">
        <v>769</v>
      </c>
      <c r="C70" s="32">
        <f>IF(M55*Assumptions!$D$35*(1-Assumptions!$D$36)=0,"n.m.",(Assumptions!$D$29-Assumptions!$D$36*M52)/(Assumptions!$D$29*Assumptions!$D$35*(1-Assumptions!$D$36)*M55))</f>
        <v>0.29198611111111111</v>
      </c>
    </row>
    <row r="71" spans="2:3" x14ac:dyDescent="0.2">
      <c r="B71" s="8" t="s">
        <v>770</v>
      </c>
      <c r="C71" s="32">
        <f>IF(Assumptions!$D$35=0,"n.m.",D52/(Assumptions!$D$29*Assumptions!$D$35))</f>
        <v>0.20811111111111114</v>
      </c>
    </row>
    <row r="72" spans="2:3" x14ac:dyDescent="0.2">
      <c r="B72" s="8" t="s">
        <v>771</v>
      </c>
      <c r="C72" s="32">
        <f>Assumptions!$D$34</f>
        <v>0.4</v>
      </c>
    </row>
    <row r="74" spans="2:3" x14ac:dyDescent="0.2">
      <c r="B74" s="2" t="s">
        <v>772</v>
      </c>
    </row>
  </sheetData>
  <pageMargins left="0.75" right="0.75" top="1" bottom="1" header="0.5" footer="0.5"/>
  <pageSetup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3"/>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20" customWidth="1"/>
    <col min="2" max="2" width="66" customWidth="1"/>
    <col min="3" max="7" width="13" customWidth="1"/>
    <col min="8" max="8" width="14" customWidth="1"/>
    <col min="9" max="14" width="12" customWidth="1"/>
  </cols>
  <sheetData>
    <row r="1" spans="1:9" ht="19" x14ac:dyDescent="0.25">
      <c r="A1" s="1" t="s">
        <v>773</v>
      </c>
    </row>
    <row r="2" spans="1:9" x14ac:dyDescent="0.2">
      <c r="A2" s="2" t="s">
        <v>774</v>
      </c>
    </row>
    <row r="3" spans="1:9" x14ac:dyDescent="0.2">
      <c r="A3" s="3" t="s">
        <v>775</v>
      </c>
    </row>
    <row r="5" spans="1:9" x14ac:dyDescent="0.2">
      <c r="B5" s="4" t="str">
        <f>"Selected scenario: "&amp;Assumptions!C4</f>
        <v>Selected scenario: Base</v>
      </c>
    </row>
    <row r="6" spans="1:9" ht="45" x14ac:dyDescent="0.2">
      <c r="A6" s="7" t="s">
        <v>182</v>
      </c>
      <c r="B6" s="7" t="s">
        <v>183</v>
      </c>
      <c r="C6" s="7" t="s">
        <v>460</v>
      </c>
      <c r="D6" s="7" t="s">
        <v>461</v>
      </c>
      <c r="E6" s="7" t="s">
        <v>462</v>
      </c>
      <c r="F6" s="25" t="s">
        <v>598</v>
      </c>
      <c r="G6" s="7" t="s">
        <v>599</v>
      </c>
      <c r="H6" s="7" t="s">
        <v>600</v>
      </c>
      <c r="I6" s="7" t="s">
        <v>601</v>
      </c>
    </row>
    <row r="7" spans="1:9" x14ac:dyDescent="0.2">
      <c r="A7" s="4" t="s">
        <v>776</v>
      </c>
    </row>
    <row r="8" spans="1:9" x14ac:dyDescent="0.2">
      <c r="A8" s="26" t="s">
        <v>226</v>
      </c>
      <c r="B8" s="26" t="s">
        <v>227</v>
      </c>
      <c r="C8" s="27">
        <f>Operating_Forecast!C23</f>
        <v>88136</v>
      </c>
      <c r="D8" s="27">
        <f>Operating_Forecast!D23</f>
        <v>101832</v>
      </c>
      <c r="E8" s="27">
        <f>Operating_Forecast!E23</f>
        <v>133749</v>
      </c>
      <c r="F8" s="14">
        <f>Operating_Forecast!F23</f>
        <v>141306.09198477602</v>
      </c>
      <c r="G8" s="15">
        <f>IF(D8=0,"n.m.",E8/D8-1)</f>
        <v>0.31342799905727081</v>
      </c>
      <c r="H8" s="15">
        <f>IF(E8=0,"n.m.",F8/E8-1)</f>
        <v>5.6502044761276959E-2</v>
      </c>
    </row>
    <row r="9" spans="1:9" x14ac:dyDescent="0.2">
      <c r="A9" s="8" t="s">
        <v>633</v>
      </c>
      <c r="B9" s="8" t="s">
        <v>777</v>
      </c>
      <c r="C9" s="14">
        <f>Operating_Forecast!C10</f>
        <v>20958</v>
      </c>
      <c r="D9" s="14">
        <f>Operating_Forecast!D10</f>
        <v>29433</v>
      </c>
      <c r="E9" s="14">
        <f>Operating_Forecast!E10</f>
        <v>38534</v>
      </c>
      <c r="F9" s="14">
        <f>Operating_Forecast!F10</f>
        <v>55282.468509999999</v>
      </c>
    </row>
    <row r="10" spans="1:9" x14ac:dyDescent="0.2">
      <c r="A10" s="8" t="s">
        <v>230</v>
      </c>
      <c r="B10" s="8" t="s">
        <v>778</v>
      </c>
      <c r="C10" s="14">
        <f>SUM(INDEX(tblQ[[Q1 FY24]:[Q4 FY24]],MATCH("SBC",tblQ[Code],0),0))</f>
        <v>10734</v>
      </c>
      <c r="D10" s="14">
        <f>SUM(INDEX(tblQ[[Q1 FY25]:[Q4 FY25]],MATCH("SBC",tblQ[Code],0),0))</f>
        <v>11974</v>
      </c>
      <c r="E10" s="14">
        <f>SUM(INDEX(tblQ[[Q1 FY26]:[Q4 FY26]],MATCH("SBC",tblQ[Code],0),0))</f>
        <v>12405</v>
      </c>
      <c r="F10" s="14">
        <f>Revenue_Forecast!$F$11*Assumptions!$G$20</f>
        <v>14299.279000000002</v>
      </c>
      <c r="I10" s="2" t="s">
        <v>779</v>
      </c>
    </row>
    <row r="11" spans="1:9" x14ac:dyDescent="0.2">
      <c r="A11" s="8" t="s">
        <v>780</v>
      </c>
      <c r="B11" s="8" t="s">
        <v>781</v>
      </c>
      <c r="C11" s="14">
        <f>C12-C8-C9-C10</f>
        <v>-1280</v>
      </c>
      <c r="D11" s="14">
        <f>D12-D8-D9-D10</f>
        <v>-7077</v>
      </c>
      <c r="E11" s="14">
        <f>E12-E8-E9-E10</f>
        <v>-1753</v>
      </c>
      <c r="F11" s="14">
        <f>Revenue_Forecast!$F$11*Assumptions!$G$21</f>
        <v>-3864.6700000000005</v>
      </c>
      <c r="I11" s="2" t="s">
        <v>782</v>
      </c>
    </row>
    <row r="12" spans="1:9" x14ac:dyDescent="0.2">
      <c r="A12" s="26" t="s">
        <v>232</v>
      </c>
      <c r="B12" s="26" t="s">
        <v>783</v>
      </c>
      <c r="C12" s="27">
        <f>SUM(INDEX(tblQ[[Q1 FY24]:[Q4 FY24]],MATCH("OCF",tblQ[Code],0),0))</f>
        <v>118548</v>
      </c>
      <c r="D12" s="27">
        <f>SUM(INDEX(tblQ[[Q1 FY25]:[Q4 FY25]],MATCH("OCF",tblQ[Code],0),0))</f>
        <v>136162</v>
      </c>
      <c r="E12" s="27">
        <f>SUM(INDEX(tblQ[[Q1 FY26]:[Q4 FY26]],MATCH("OCF",tblQ[Code],0),0))</f>
        <v>182935</v>
      </c>
      <c r="F12" s="27">
        <f>Operating_Forecast!$F$23+Capex_and_Depreciation!$F$27+Cash_Flow!$F$10+Cash_Flow!$F$11</f>
        <v>207023.16949477603</v>
      </c>
      <c r="G12" s="15">
        <f t="shared" ref="G12:H14" si="0">IF(D12=0,"n.m.",E12/D12-1)</f>
        <v>0.34350993669305674</v>
      </c>
      <c r="H12" s="15">
        <f t="shared" si="0"/>
        <v>0.1316761117051195</v>
      </c>
      <c r="I12" s="2" t="s">
        <v>784</v>
      </c>
    </row>
    <row r="13" spans="1:9" x14ac:dyDescent="0.2">
      <c r="A13" s="8" t="s">
        <v>785</v>
      </c>
      <c r="B13" s="8" t="s">
        <v>786</v>
      </c>
      <c r="C13" s="14">
        <f>Capex_and_Depreciation!C8</f>
        <v>44477</v>
      </c>
      <c r="D13" s="14">
        <f>Capex_and_Depreciation!D8</f>
        <v>64551</v>
      </c>
      <c r="E13" s="14">
        <f>Capex_and_Depreciation!E8</f>
        <v>115948</v>
      </c>
      <c r="F13" s="14">
        <f>Capex_and_Depreciation!F8</f>
        <v>184000</v>
      </c>
      <c r="G13" s="15">
        <f t="shared" si="0"/>
        <v>0.7962231413920775</v>
      </c>
      <c r="H13" s="15">
        <f t="shared" si="0"/>
        <v>0.58691827370890404</v>
      </c>
    </row>
    <row r="14" spans="1:9" x14ac:dyDescent="0.2">
      <c r="A14" s="26" t="s">
        <v>787</v>
      </c>
      <c r="B14" s="26" t="s">
        <v>788</v>
      </c>
      <c r="C14" s="27">
        <f>C12-C13</f>
        <v>74071</v>
      </c>
      <c r="D14" s="27">
        <f>D12-D13</f>
        <v>71611</v>
      </c>
      <c r="E14" s="27">
        <f>E12-E13</f>
        <v>66987</v>
      </c>
      <c r="F14" s="27">
        <f>Cash_Flow!$F$12-Capex_and_Depreciation!$F$8</f>
        <v>23023.169494776026</v>
      </c>
      <c r="G14" s="15">
        <f t="shared" si="0"/>
        <v>-6.4571085447766352E-2</v>
      </c>
      <c r="H14" s="15">
        <f t="shared" si="0"/>
        <v>-0.65630391725594484</v>
      </c>
      <c r="I14" s="2" t="s">
        <v>789</v>
      </c>
    </row>
    <row r="15" spans="1:9" x14ac:dyDescent="0.2">
      <c r="A15" s="8" t="s">
        <v>790</v>
      </c>
      <c r="B15" s="8" t="s">
        <v>791</v>
      </c>
      <c r="C15" s="14">
        <f>INDEX(tblAnnual[FY2024],MATCH("FL_FINANCING_CF",tblAnnual[Code],0))</f>
        <v>1286</v>
      </c>
      <c r="D15" s="14">
        <f>INDEX(tblAnnual[FY2025],MATCH("FL_FINANCING_CF",tblAnnual[Code],0))</f>
        <v>2283</v>
      </c>
      <c r="E15" s="14">
        <f>INDEX(tblAnnual[FY2026],MATCH("FL_FINANCING_CF",tblAnnual[Code],0))</f>
        <v>3101</v>
      </c>
      <c r="F15" s="14">
        <f>Assumptions!$G$22</f>
        <v>4500</v>
      </c>
      <c r="I15" s="2" t="s">
        <v>792</v>
      </c>
    </row>
    <row r="16" spans="1:9" x14ac:dyDescent="0.2">
      <c r="A16" s="8" t="s">
        <v>793</v>
      </c>
      <c r="B16" s="8" t="s">
        <v>794</v>
      </c>
      <c r="C16" s="14">
        <f>C14-C15</f>
        <v>72785</v>
      </c>
      <c r="D16" s="14">
        <f>D14-D15</f>
        <v>69328</v>
      </c>
      <c r="E16" s="14">
        <f>E14-E15</f>
        <v>63886</v>
      </c>
      <c r="F16" s="14">
        <f>Cash_Flow!$F$14-Cash_Flow!$F$15</f>
        <v>18523.169494776026</v>
      </c>
    </row>
    <row r="17" spans="1:14" x14ac:dyDescent="0.2">
      <c r="A17" s="8" t="s">
        <v>795</v>
      </c>
      <c r="B17" s="8" t="s">
        <v>796</v>
      </c>
      <c r="C17" s="14">
        <f>-SUM(INDEX(tblQ[[Q1 FY24]:[Q4 FY24]],MATCH("DIVIDENDS",tblQ[Code],0),0))</f>
        <v>21771</v>
      </c>
      <c r="D17" s="14">
        <f>-SUM(INDEX(tblQ[[Q1 FY25]:[Q4 FY25]],MATCH("DIVIDENDS",tblQ[Code],0),0))</f>
        <v>24082</v>
      </c>
      <c r="E17" s="14">
        <f>-SUM(INDEX(tblQ[[Q1 FY26]:[Q4 FY26]],MATCH("DIVIDENDS",tblQ[Code],0),0))</f>
        <v>26445</v>
      </c>
      <c r="F17" s="14">
        <f>Assumptions!$G$23</f>
        <v>28500</v>
      </c>
      <c r="I17" s="2" t="s">
        <v>797</v>
      </c>
    </row>
    <row r="18" spans="1:14" x14ac:dyDescent="0.2">
      <c r="A18" s="8" t="s">
        <v>798</v>
      </c>
      <c r="B18" s="8" t="s">
        <v>799</v>
      </c>
      <c r="C18" s="14">
        <f>-SUM(INDEX(tblQ[[Q1 FY24]:[Q4 FY24]],MATCH("BUYBACKS",tblQ[Code],0),0))</f>
        <v>17254</v>
      </c>
      <c r="D18" s="14">
        <f>-SUM(INDEX(tblQ[[Q1 FY25]:[Q4 FY25]],MATCH("BUYBACKS",tblQ[Code],0),0))</f>
        <v>18420</v>
      </c>
      <c r="E18" s="14">
        <f>-SUM(INDEX(tblQ[[Q1 FY26]:[Q4 FY26]],MATCH("BUYBACKS",tblQ[Code],0),0))</f>
        <v>22271</v>
      </c>
      <c r="F18" s="14">
        <f>Assumptions!$G$24</f>
        <v>20000</v>
      </c>
      <c r="I18" s="2" t="s">
        <v>800</v>
      </c>
    </row>
    <row r="19" spans="1:14" x14ac:dyDescent="0.2">
      <c r="A19" s="26" t="s">
        <v>801</v>
      </c>
      <c r="B19" s="26" t="s">
        <v>802</v>
      </c>
      <c r="C19" s="27">
        <f>C16-C17-C18</f>
        <v>33760</v>
      </c>
      <c r="D19" s="27">
        <f>D16-D17-D18</f>
        <v>26826</v>
      </c>
      <c r="E19" s="27">
        <f>E16-E17-E18</f>
        <v>15170</v>
      </c>
      <c r="F19" s="27">
        <f>Cash_Flow!$F$16-Cash_Flow!$F$17-Cash_Flow!$F$18</f>
        <v>-29976.830505223974</v>
      </c>
      <c r="I19" s="2" t="s">
        <v>803</v>
      </c>
    </row>
    <row r="21" spans="1:14" x14ac:dyDescent="0.2">
      <c r="A21" s="4" t="s">
        <v>650</v>
      </c>
    </row>
    <row r="22" spans="1:14" x14ac:dyDescent="0.2">
      <c r="B22" s="8" t="s">
        <v>804</v>
      </c>
      <c r="C22" s="15">
        <f>C12/Revenue_Forecast!C11</f>
        <v>0.48362856047192826</v>
      </c>
      <c r="D22" s="15">
        <f>D12/Revenue_Forecast!D11</f>
        <v>0.48331700529596344</v>
      </c>
      <c r="E22" s="15">
        <f>E12/Revenue_Forecast!E11</f>
        <v>0.55127637197556645</v>
      </c>
      <c r="F22" s="15">
        <f>F12/Revenue_Forecast!F11</f>
        <v>0.53568136346641759</v>
      </c>
    </row>
    <row r="23" spans="1:14" x14ac:dyDescent="0.2">
      <c r="A23" s="8" t="s">
        <v>805</v>
      </c>
      <c r="B23" s="8" t="s">
        <v>806</v>
      </c>
      <c r="C23" s="15">
        <f>C14/Revenue_Forecast!C11</f>
        <v>0.30218013886962408</v>
      </c>
      <c r="D23" s="15">
        <f>D14/Revenue_Forecast!D11</f>
        <v>0.25418849654271558</v>
      </c>
      <c r="E23" s="15">
        <f>E14/Revenue_Forecast!E11</f>
        <v>0.20186596512164032</v>
      </c>
      <c r="F23" s="15">
        <f>Cash_Flow!$F$14/Revenue_Forecast!$F$11</f>
        <v>5.957344222087791E-2</v>
      </c>
    </row>
    <row r="24" spans="1:14" x14ac:dyDescent="0.2">
      <c r="B24" s="8" t="s">
        <v>807</v>
      </c>
      <c r="C24" s="15">
        <f>C13/C12</f>
        <v>0.37518136113641731</v>
      </c>
      <c r="D24" s="15">
        <f>D13/D12</f>
        <v>0.47407499889837107</v>
      </c>
      <c r="E24" s="15">
        <f>E13/E12</f>
        <v>0.63382075600623167</v>
      </c>
      <c r="F24" s="15">
        <f>F13/F12</f>
        <v>0.88878940675595741</v>
      </c>
    </row>
    <row r="25" spans="1:14" x14ac:dyDescent="0.2">
      <c r="B25" s="8" t="s">
        <v>808</v>
      </c>
      <c r="C25" s="15">
        <f>C10/Revenue_Forecast!C11</f>
        <v>4.3790439046678793E-2</v>
      </c>
      <c r="D25" s="15">
        <f>D10/Revenue_Forecast!D11</f>
        <v>4.2502591188539135E-2</v>
      </c>
      <c r="E25" s="15">
        <f>E10/Revenue_Forecast!E11</f>
        <v>3.7382586133637097E-2</v>
      </c>
      <c r="F25" s="15">
        <f>F10/Revenue_Forecast!F11</f>
        <v>3.6999999999999998E-2</v>
      </c>
    </row>
    <row r="26" spans="1:14" x14ac:dyDescent="0.2">
      <c r="B26" s="8" t="s">
        <v>809</v>
      </c>
      <c r="C26" s="15">
        <f>C11/Revenue_Forecast!C11</f>
        <v>-5.22188950808169E-3</v>
      </c>
      <c r="D26" s="15">
        <f>D11/Revenue_Forecast!D11</f>
        <v>-2.5120330536269539E-2</v>
      </c>
      <c r="E26" s="15">
        <f>E11/Revenue_Forecast!E11</f>
        <v>-5.2826822645921671E-3</v>
      </c>
      <c r="F26" s="15">
        <f>F11/Revenue_Forecast!F11</f>
        <v>-0.01</v>
      </c>
    </row>
    <row r="27" spans="1:14" x14ac:dyDescent="0.2">
      <c r="B27" s="8" t="s">
        <v>810</v>
      </c>
      <c r="C27" s="15">
        <f>C12/C8</f>
        <v>1.3450576381955159</v>
      </c>
      <c r="D27" s="15">
        <f>D12/D8</f>
        <v>1.3371238903291696</v>
      </c>
      <c r="E27" s="15">
        <f>E12/E8</f>
        <v>1.3677485439143471</v>
      </c>
      <c r="F27" s="15">
        <f>F12/F8</f>
        <v>1.4650689619034982</v>
      </c>
    </row>
    <row r="28" spans="1:14" x14ac:dyDescent="0.2">
      <c r="B28" s="8" t="s">
        <v>811</v>
      </c>
      <c r="C28" s="14">
        <f>INDEX(tblQ[Q4 FY24],MATCH("CASH_STI",tblQ[Code],0))</f>
        <v>75543</v>
      </c>
      <c r="D28" s="14">
        <f>INDEX(tblQ[Q4 FY25],MATCH("CASH_STI",tblQ[Code],0))</f>
        <v>94565</v>
      </c>
      <c r="E28" s="14">
        <f>INDEX(tblQ[Q4 FY26],MATCH("CASH_STI",tblQ[Code],0))</f>
        <v>76843</v>
      </c>
      <c r="F28" s="8" t="s">
        <v>640</v>
      </c>
    </row>
    <row r="31" spans="1:14" x14ac:dyDescent="0.2">
      <c r="A31" s="4" t="s">
        <v>812</v>
      </c>
    </row>
    <row r="32" spans="1:14" x14ac:dyDescent="0.2">
      <c r="A32" s="7"/>
      <c r="B32" s="7" t="s">
        <v>813</v>
      </c>
      <c r="C32" s="7" t="s">
        <v>185</v>
      </c>
      <c r="D32" s="7" t="s">
        <v>186</v>
      </c>
      <c r="E32" s="7" t="s">
        <v>187</v>
      </c>
      <c r="F32" s="7" t="s">
        <v>188</v>
      </c>
      <c r="G32" s="7" t="s">
        <v>189</v>
      </c>
      <c r="H32" s="7" t="s">
        <v>190</v>
      </c>
      <c r="I32" s="7" t="s">
        <v>191</v>
      </c>
      <c r="J32" s="7" t="s">
        <v>192</v>
      </c>
      <c r="K32" s="7" t="s">
        <v>193</v>
      </c>
      <c r="L32" s="7" t="s">
        <v>194</v>
      </c>
      <c r="M32" s="7" t="s">
        <v>195</v>
      </c>
      <c r="N32" s="7" t="s">
        <v>196</v>
      </c>
    </row>
    <row r="33" spans="2:14" x14ac:dyDescent="0.2">
      <c r="B33" s="8" t="s">
        <v>814</v>
      </c>
      <c r="C33" s="14">
        <f>INDEX(tblQ[Q1 FY24],MATCH("OCF",tblQ[Code],0))</f>
        <v>30583</v>
      </c>
      <c r="D33" s="14">
        <f>INDEX(tblQ[Q2 FY24],MATCH("OCF",tblQ[Code],0))</f>
        <v>18853</v>
      </c>
      <c r="E33" s="14">
        <f>INDEX(tblQ[Q3 FY24],MATCH("OCF",tblQ[Code],0))</f>
        <v>31917</v>
      </c>
      <c r="F33" s="14">
        <f>INDEX(tblQ[Q4 FY24],MATCH("OCF",tblQ[Code],0))</f>
        <v>37195</v>
      </c>
      <c r="G33" s="14">
        <f>INDEX(tblQ[Q1 FY25],MATCH("OCF",tblQ[Code],0))</f>
        <v>34180</v>
      </c>
      <c r="H33" s="14">
        <f>INDEX(tblQ[Q2 FY25],MATCH("OCF",tblQ[Code],0))</f>
        <v>22291</v>
      </c>
      <c r="I33" s="14">
        <f>INDEX(tblQ[Q3 FY25],MATCH("OCF",tblQ[Code],0))</f>
        <v>37044</v>
      </c>
      <c r="J33" s="14">
        <f>INDEX(tblQ[Q4 FY25],MATCH("OCF",tblQ[Code],0))</f>
        <v>42647</v>
      </c>
      <c r="K33" s="14">
        <f>INDEX(tblQ[Q1 FY26],MATCH("OCF",tblQ[Code],0))</f>
        <v>45057</v>
      </c>
      <c r="L33" s="14">
        <f>INDEX(tblQ[Q2 FY26],MATCH("OCF",tblQ[Code],0))</f>
        <v>35758</v>
      </c>
      <c r="M33" s="14">
        <f>INDEX(tblQ[Q3 FY26],MATCH("OCF",tblQ[Code],0))</f>
        <v>46679</v>
      </c>
      <c r="N33" s="14">
        <f>INDEX(tblQ[Q4 FY26],MATCH("OCF",tblQ[Code],0))</f>
        <v>55441</v>
      </c>
    </row>
    <row r="34" spans="2:14" x14ac:dyDescent="0.2">
      <c r="B34" s="8" t="s">
        <v>815</v>
      </c>
      <c r="C34" s="14">
        <f>-INDEX(tblQ[Q1 FY24],MATCH("CAPEX_CASH",tblQ[Code],0))</f>
        <v>9917</v>
      </c>
      <c r="D34" s="14">
        <f>-INDEX(tblQ[Q2 FY24],MATCH("CAPEX_CASH",tblQ[Code],0))</f>
        <v>9735</v>
      </c>
      <c r="E34" s="14">
        <f>-INDEX(tblQ[Q3 FY24],MATCH("CAPEX_CASH",tblQ[Code],0))</f>
        <v>10952</v>
      </c>
      <c r="F34" s="14">
        <f>-INDEX(tblQ[Q4 FY24],MATCH("CAPEX_CASH",tblQ[Code],0))</f>
        <v>13873</v>
      </c>
      <c r="G34" s="14">
        <f>-INDEX(tblQ[Q1 FY25],MATCH("CAPEX_CASH",tblQ[Code],0))</f>
        <v>14923</v>
      </c>
      <c r="H34" s="14">
        <f>-INDEX(tblQ[Q2 FY25],MATCH("CAPEX_CASH",tblQ[Code],0))</f>
        <v>15804</v>
      </c>
      <c r="I34" s="14">
        <f>-INDEX(tblQ[Q3 FY25],MATCH("CAPEX_CASH",tblQ[Code],0))</f>
        <v>16745</v>
      </c>
      <c r="J34" s="14">
        <f>-INDEX(tblQ[Q4 FY25],MATCH("CAPEX_CASH",tblQ[Code],0))</f>
        <v>17079</v>
      </c>
      <c r="K34" s="14">
        <f>-INDEX(tblQ[Q1 FY26],MATCH("CAPEX_CASH",tblQ[Code],0))</f>
        <v>19394</v>
      </c>
      <c r="L34" s="14">
        <f>-INDEX(tblQ[Q2 FY26],MATCH("CAPEX_CASH",tblQ[Code],0))</f>
        <v>29876</v>
      </c>
      <c r="M34" s="14">
        <f>-INDEX(tblQ[Q3 FY26],MATCH("CAPEX_CASH",tblQ[Code],0))</f>
        <v>30876</v>
      </c>
      <c r="N34" s="14">
        <f>-INDEX(tblQ[Q4 FY26],MATCH("CAPEX_CASH",tblQ[Code],0))</f>
        <v>35802</v>
      </c>
    </row>
    <row r="35" spans="2:14" x14ac:dyDescent="0.2">
      <c r="B35" s="4" t="s">
        <v>816</v>
      </c>
      <c r="C35" s="21">
        <f t="shared" ref="C35:N35" si="1">C33-C34</f>
        <v>20666</v>
      </c>
      <c r="D35" s="21">
        <f t="shared" si="1"/>
        <v>9118</v>
      </c>
      <c r="E35" s="21">
        <f t="shared" si="1"/>
        <v>20965</v>
      </c>
      <c r="F35" s="21">
        <f t="shared" si="1"/>
        <v>23322</v>
      </c>
      <c r="G35" s="21">
        <f t="shared" si="1"/>
        <v>19257</v>
      </c>
      <c r="H35" s="21">
        <f t="shared" si="1"/>
        <v>6487</v>
      </c>
      <c r="I35" s="21">
        <f t="shared" si="1"/>
        <v>20299</v>
      </c>
      <c r="J35" s="21">
        <f t="shared" si="1"/>
        <v>25568</v>
      </c>
      <c r="K35" s="21">
        <f t="shared" si="1"/>
        <v>25663</v>
      </c>
      <c r="L35" s="21">
        <f t="shared" si="1"/>
        <v>5882</v>
      </c>
      <c r="M35" s="21">
        <f t="shared" si="1"/>
        <v>15803</v>
      </c>
      <c r="N35" s="21">
        <f t="shared" si="1"/>
        <v>19639</v>
      </c>
    </row>
    <row r="36" spans="2:14" x14ac:dyDescent="0.2">
      <c r="B36" s="8" t="s">
        <v>817</v>
      </c>
      <c r="C36" s="14">
        <f>C33</f>
        <v>30583</v>
      </c>
      <c r="D36" s="14">
        <f>D33+C36</f>
        <v>49436</v>
      </c>
      <c r="E36" s="14">
        <f>E33+D36</f>
        <v>81353</v>
      </c>
      <c r="F36" s="14">
        <f>F33+E36</f>
        <v>118548</v>
      </c>
      <c r="G36" s="14">
        <f>G33</f>
        <v>34180</v>
      </c>
      <c r="H36" s="14">
        <f>H33+G36</f>
        <v>56471</v>
      </c>
      <c r="I36" s="14">
        <f>I33+H36</f>
        <v>93515</v>
      </c>
      <c r="J36" s="14">
        <f>J33+I36</f>
        <v>136162</v>
      </c>
      <c r="K36" s="14">
        <f>K33</f>
        <v>45057</v>
      </c>
      <c r="L36" s="14">
        <f>L33+K36</f>
        <v>80815</v>
      </c>
      <c r="M36" s="14">
        <f>M33+L36</f>
        <v>127494</v>
      </c>
      <c r="N36" s="14">
        <f>N33+M36</f>
        <v>182935</v>
      </c>
    </row>
    <row r="37" spans="2:14" x14ac:dyDescent="0.2">
      <c r="B37" s="8" t="s">
        <v>818</v>
      </c>
      <c r="C37" s="14">
        <f>INDEX(tblYTD[Q1 FY24],MATCH("OCF",tblYTD[Code],0))</f>
        <v>30583</v>
      </c>
      <c r="D37" s="14">
        <f>INDEX(tblYTD[Q2 FY24],MATCH("OCF",tblYTD[Code],0))</f>
        <v>49436</v>
      </c>
      <c r="E37" s="14">
        <f>INDEX(tblYTD[Q3 FY24],MATCH("OCF",tblYTD[Code],0))</f>
        <v>81353</v>
      </c>
      <c r="F37" s="14">
        <f>INDEX(tblYTD[Q4 FY24],MATCH("OCF",tblYTD[Code],0))</f>
        <v>118548</v>
      </c>
      <c r="G37" s="14">
        <f>INDEX(tblYTD[Q1 FY25],MATCH("OCF",tblYTD[Code],0))</f>
        <v>34180</v>
      </c>
      <c r="H37" s="14">
        <f>INDEX(tblYTD[Q2 FY25],MATCH("OCF",tblYTD[Code],0))</f>
        <v>56471</v>
      </c>
      <c r="I37" s="14">
        <f>INDEX(tblYTD[Q3 FY25],MATCH("OCF",tblYTD[Code],0))</f>
        <v>93515</v>
      </c>
      <c r="J37" s="14">
        <f>INDEX(tblYTD[Q4 FY25],MATCH("OCF",tblYTD[Code],0))</f>
        <v>136162</v>
      </c>
      <c r="K37" s="14">
        <f>INDEX(tblYTD[Q1 FY26],MATCH("OCF",tblYTD[Code],0))</f>
        <v>45057</v>
      </c>
      <c r="L37" s="14">
        <f>INDEX(tblYTD[Q2 FY26],MATCH("OCF",tblYTD[Code],0))</f>
        <v>80815</v>
      </c>
      <c r="M37" s="14">
        <f>INDEX(tblYTD[Q3 FY26],MATCH("OCF",tblYTD[Code],0))</f>
        <v>127494</v>
      </c>
      <c r="N37" s="14">
        <f>INDEX(tblYTD[Q4 FY26],MATCH("OCF",tblYTD[Code],0))</f>
        <v>182935</v>
      </c>
    </row>
    <row r="38" spans="2:14" x14ac:dyDescent="0.2">
      <c r="B38" s="8" t="s">
        <v>819</v>
      </c>
      <c r="C38" s="14">
        <f t="shared" ref="C38:N38" si="2">C36-C37</f>
        <v>0</v>
      </c>
      <c r="D38" s="14">
        <f t="shared" si="2"/>
        <v>0</v>
      </c>
      <c r="E38" s="14">
        <f t="shared" si="2"/>
        <v>0</v>
      </c>
      <c r="F38" s="14">
        <f t="shared" si="2"/>
        <v>0</v>
      </c>
      <c r="G38" s="14">
        <f t="shared" si="2"/>
        <v>0</v>
      </c>
      <c r="H38" s="14">
        <f t="shared" si="2"/>
        <v>0</v>
      </c>
      <c r="I38" s="14">
        <f t="shared" si="2"/>
        <v>0</v>
      </c>
      <c r="J38" s="14">
        <f t="shared" si="2"/>
        <v>0</v>
      </c>
      <c r="K38" s="14">
        <f t="shared" si="2"/>
        <v>0</v>
      </c>
      <c r="L38" s="14">
        <f t="shared" si="2"/>
        <v>0</v>
      </c>
      <c r="M38" s="14">
        <f t="shared" si="2"/>
        <v>0</v>
      </c>
      <c r="N38" s="14">
        <f t="shared" si="2"/>
        <v>0</v>
      </c>
    </row>
    <row r="39" spans="2:14" x14ac:dyDescent="0.2">
      <c r="B39" s="8" t="s">
        <v>820</v>
      </c>
      <c r="C39" s="14">
        <f>C34</f>
        <v>9917</v>
      </c>
      <c r="D39" s="14">
        <f>D34+C39</f>
        <v>19652</v>
      </c>
      <c r="E39" s="14">
        <f>E34+D39</f>
        <v>30604</v>
      </c>
      <c r="F39" s="14">
        <f>F34+E39</f>
        <v>44477</v>
      </c>
      <c r="G39" s="14">
        <f>G34</f>
        <v>14923</v>
      </c>
      <c r="H39" s="14">
        <f>H34+G39</f>
        <v>30727</v>
      </c>
      <c r="I39" s="14">
        <f>I34+H39</f>
        <v>47472</v>
      </c>
      <c r="J39" s="14">
        <f>J34+I39</f>
        <v>64551</v>
      </c>
      <c r="K39" s="14">
        <f>K34</f>
        <v>19394</v>
      </c>
      <c r="L39" s="14">
        <f>L34+K39</f>
        <v>49270</v>
      </c>
      <c r="M39" s="14">
        <f>M34+L39</f>
        <v>80146</v>
      </c>
      <c r="N39" s="14">
        <f>N34+M39</f>
        <v>115948</v>
      </c>
    </row>
    <row r="40" spans="2:14" x14ac:dyDescent="0.2">
      <c r="B40" s="8" t="s">
        <v>821</v>
      </c>
      <c r="C40" s="14">
        <f>-INDEX(tblYTD[Q1 FY24],MATCH("CAPEX_CASH",tblYTD[Code],0))</f>
        <v>9917</v>
      </c>
      <c r="D40" s="14">
        <f>-INDEX(tblYTD[Q2 FY24],MATCH("CAPEX_CASH",tblYTD[Code],0))</f>
        <v>19652</v>
      </c>
      <c r="E40" s="14">
        <f>-INDEX(tblYTD[Q3 FY24],MATCH("CAPEX_CASH",tblYTD[Code],0))</f>
        <v>30604</v>
      </c>
      <c r="F40" s="14">
        <f>-INDEX(tblYTD[Q4 FY24],MATCH("CAPEX_CASH",tblYTD[Code],0))</f>
        <v>44477</v>
      </c>
      <c r="G40" s="14">
        <f>-INDEX(tblYTD[Q1 FY25],MATCH("CAPEX_CASH",tblYTD[Code],0))</f>
        <v>14923</v>
      </c>
      <c r="H40" s="14">
        <f>-INDEX(tblYTD[Q2 FY25],MATCH("CAPEX_CASH",tblYTD[Code],0))</f>
        <v>30727</v>
      </c>
      <c r="I40" s="14">
        <f>-INDEX(tblYTD[Q3 FY25],MATCH("CAPEX_CASH",tblYTD[Code],0))</f>
        <v>47472</v>
      </c>
      <c r="J40" s="14">
        <f>-INDEX(tblYTD[Q4 FY25],MATCH("CAPEX_CASH",tblYTD[Code],0))</f>
        <v>64551</v>
      </c>
      <c r="K40" s="14">
        <f>-INDEX(tblYTD[Q1 FY26],MATCH("CAPEX_CASH",tblYTD[Code],0))</f>
        <v>19394</v>
      </c>
      <c r="L40" s="14">
        <f>-INDEX(tblYTD[Q2 FY26],MATCH("CAPEX_CASH",tblYTD[Code],0))</f>
        <v>49270</v>
      </c>
      <c r="M40" s="14">
        <f>-INDEX(tblYTD[Q3 FY26],MATCH("CAPEX_CASH",tblYTD[Code],0))</f>
        <v>80146</v>
      </c>
      <c r="N40" s="14">
        <f>-INDEX(tblYTD[Q4 FY26],MATCH("CAPEX_CASH",tblYTD[Code],0))</f>
        <v>115948</v>
      </c>
    </row>
    <row r="41" spans="2:14" x14ac:dyDescent="0.2">
      <c r="B41" s="8" t="s">
        <v>819</v>
      </c>
      <c r="C41" s="14">
        <f t="shared" ref="C41:N41" si="3">C39-C40</f>
        <v>0</v>
      </c>
      <c r="D41" s="14">
        <f t="shared" si="3"/>
        <v>0</v>
      </c>
      <c r="E41" s="14">
        <f t="shared" si="3"/>
        <v>0</v>
      </c>
      <c r="F41" s="14">
        <f t="shared" si="3"/>
        <v>0</v>
      </c>
      <c r="G41" s="14">
        <f t="shared" si="3"/>
        <v>0</v>
      </c>
      <c r="H41" s="14">
        <f t="shared" si="3"/>
        <v>0</v>
      </c>
      <c r="I41" s="14">
        <f t="shared" si="3"/>
        <v>0</v>
      </c>
      <c r="J41" s="14">
        <f t="shared" si="3"/>
        <v>0</v>
      </c>
      <c r="K41" s="14">
        <f t="shared" si="3"/>
        <v>0</v>
      </c>
      <c r="L41" s="14">
        <f t="shared" si="3"/>
        <v>0</v>
      </c>
      <c r="M41" s="14">
        <f t="shared" si="3"/>
        <v>0</v>
      </c>
      <c r="N41" s="14">
        <f t="shared" si="3"/>
        <v>0</v>
      </c>
    </row>
    <row r="43" spans="2:14" x14ac:dyDescent="0.2">
      <c r="B43" s="2" t="s">
        <v>822</v>
      </c>
    </row>
  </sheetData>
  <pageMargins left="0.75" right="0.75" top="1" bottom="1" header="0.5" footer="0.5"/>
  <pageSetup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95"/>
  <sheetViews>
    <sheetView showGridLines="0" workbookViewId="0">
      <pane xSplit="2" ySplit="6" topLeftCell="C7" activePane="bottomRight" state="frozen"/>
      <selection pane="topRight"/>
      <selection pane="bottomLeft"/>
      <selection pane="bottomRight"/>
    </sheetView>
  </sheetViews>
  <sheetFormatPr baseColWidth="10" defaultColWidth="8.83203125" defaultRowHeight="15" x14ac:dyDescent="0.2"/>
  <cols>
    <col min="1" max="1" width="20" customWidth="1"/>
    <col min="2" max="2" width="66" customWidth="1"/>
    <col min="3" max="18" width="14" customWidth="1"/>
  </cols>
  <sheetData>
    <row r="1" spans="1:18" ht="19" x14ac:dyDescent="0.25">
      <c r="A1" s="1" t="s">
        <v>823</v>
      </c>
    </row>
    <row r="2" spans="1:18" x14ac:dyDescent="0.2">
      <c r="A2" s="2" t="s">
        <v>824</v>
      </c>
    </row>
    <row r="3" spans="1:18" x14ac:dyDescent="0.2">
      <c r="A3" s="3" t="s">
        <v>825</v>
      </c>
    </row>
    <row r="5" spans="1:18" x14ac:dyDescent="0.2">
      <c r="G5" s="4" t="s">
        <v>826</v>
      </c>
      <c r="M5" s="4" t="s">
        <v>827</v>
      </c>
    </row>
    <row r="6" spans="1:18" ht="42" customHeight="1" x14ac:dyDescent="0.2">
      <c r="A6" s="7" t="s">
        <v>182</v>
      </c>
      <c r="B6" s="7" t="s">
        <v>828</v>
      </c>
      <c r="C6" s="25" t="s">
        <v>489</v>
      </c>
      <c r="D6" s="25" t="s">
        <v>493</v>
      </c>
      <c r="E6" s="25" t="s">
        <v>494</v>
      </c>
      <c r="G6" s="7" t="s">
        <v>829</v>
      </c>
      <c r="H6" s="7" t="s">
        <v>830</v>
      </c>
      <c r="I6" s="7" t="s">
        <v>392</v>
      </c>
      <c r="J6" s="7" t="s">
        <v>831</v>
      </c>
      <c r="K6" s="7" t="s">
        <v>832</v>
      </c>
      <c r="L6" s="7" t="s">
        <v>833</v>
      </c>
      <c r="M6" s="7" t="s">
        <v>829</v>
      </c>
      <c r="N6" s="7" t="s">
        <v>830</v>
      </c>
      <c r="O6" s="7" t="s">
        <v>392</v>
      </c>
      <c r="P6" s="7" t="s">
        <v>831</v>
      </c>
      <c r="Q6" s="7" t="s">
        <v>832</v>
      </c>
      <c r="R6" s="7" t="s">
        <v>833</v>
      </c>
    </row>
    <row r="8" spans="1:18" x14ac:dyDescent="0.2">
      <c r="A8" s="8" t="s">
        <v>602</v>
      </c>
      <c r="B8" s="8" t="s">
        <v>603</v>
      </c>
      <c r="C8" s="14">
        <f>Revenue_Forecast!$E$8*(1+Assumptions!$D$8)</f>
        <v>155395.56000000003</v>
      </c>
      <c r="D8" s="14">
        <f>Revenue_Forecast!$E$8*(1+Assumptions!$E$8)</f>
        <v>158195.47999999998</v>
      </c>
      <c r="E8" s="14">
        <f>Revenue_Forecast!$E$8*(1+Assumptions!$F$8)</f>
        <v>151195.68000000002</v>
      </c>
      <c r="G8" s="14">
        <f>Revenue_Forecast!$E$8*(1+Assumptions!$F$8)</f>
        <v>151195.68000000002</v>
      </c>
      <c r="H8" s="14">
        <f>Revenue_Forecast!$E$8*(1+Assumptions!$D$8)</f>
        <v>155395.56000000003</v>
      </c>
      <c r="I8" s="14">
        <f>Revenue_Forecast!$E$8*(1+Assumptions!$D$8)</f>
        <v>155395.56000000003</v>
      </c>
      <c r="J8" s="14">
        <f>Revenue_Forecast!$E$8*(1+Assumptions!$D$8)</f>
        <v>155395.56000000003</v>
      </c>
      <c r="K8" s="14">
        <f>Revenue_Forecast!$E$8*(1+Assumptions!$D$8)</f>
        <v>155395.56000000003</v>
      </c>
      <c r="L8" s="14">
        <f>Revenue_Forecast!$E$8*(1+Assumptions!$D$8)</f>
        <v>155395.56000000003</v>
      </c>
      <c r="M8" s="14">
        <f>Revenue_Forecast!$E$8*(1+Assumptions!$E$8)</f>
        <v>158195.47999999998</v>
      </c>
      <c r="N8" s="14">
        <f>Revenue_Forecast!$E$8*(1+Assumptions!$D$8)</f>
        <v>155395.56000000003</v>
      </c>
      <c r="O8" s="14">
        <f>Revenue_Forecast!$E$8*(1+Assumptions!$D$8)</f>
        <v>155395.56000000003</v>
      </c>
      <c r="P8" s="14">
        <f>Revenue_Forecast!$E$8*(1+Assumptions!$D$8)</f>
        <v>155395.56000000003</v>
      </c>
      <c r="Q8" s="14">
        <f>Revenue_Forecast!$E$8*(1+Assumptions!$D$8)</f>
        <v>155395.56000000003</v>
      </c>
      <c r="R8" s="14">
        <f>Revenue_Forecast!$E$8*(1+Assumptions!$D$8)</f>
        <v>155395.56000000003</v>
      </c>
    </row>
    <row r="9" spans="1:18" x14ac:dyDescent="0.2">
      <c r="A9" s="8" t="s">
        <v>605</v>
      </c>
      <c r="B9" s="8" t="s">
        <v>606</v>
      </c>
      <c r="C9" s="14">
        <f>Revenue_Forecast!$E$9*(1+Assumptions!$D$9)</f>
        <v>181884.12</v>
      </c>
      <c r="D9" s="14">
        <f>Revenue_Forecast!$E$9*(1+Assumptions!$E$9)</f>
        <v>188773.67</v>
      </c>
      <c r="E9" s="14">
        <f>Revenue_Forecast!$E$9*(1+Assumptions!$F$9)</f>
        <v>170860.84</v>
      </c>
      <c r="G9" s="14">
        <f>Revenue_Forecast!$E$9*(1+Assumptions!$F$9)</f>
        <v>170860.84</v>
      </c>
      <c r="H9" s="14">
        <f>Revenue_Forecast!$E$9*(1+Assumptions!$D$9)</f>
        <v>181884.12</v>
      </c>
      <c r="I9" s="14">
        <f>Revenue_Forecast!$E$9*(1+Assumptions!$D$9)</f>
        <v>181884.12</v>
      </c>
      <c r="J9" s="14">
        <f>Revenue_Forecast!$E$9*(1+Assumptions!$D$9)</f>
        <v>181884.12</v>
      </c>
      <c r="K9" s="14">
        <f>Revenue_Forecast!$E$9*(1+Assumptions!$D$9)</f>
        <v>181884.12</v>
      </c>
      <c r="L9" s="14">
        <f>Revenue_Forecast!$E$9*(1+Assumptions!$D$9)</f>
        <v>181884.12</v>
      </c>
      <c r="M9" s="14">
        <f>Revenue_Forecast!$E$9*(1+Assumptions!$E$9)</f>
        <v>188773.67</v>
      </c>
      <c r="N9" s="14">
        <f>Revenue_Forecast!$E$9*(1+Assumptions!$D$9)</f>
        <v>181884.12</v>
      </c>
      <c r="O9" s="14">
        <f>Revenue_Forecast!$E$9*(1+Assumptions!$D$9)</f>
        <v>181884.12</v>
      </c>
      <c r="P9" s="14">
        <f>Revenue_Forecast!$E$9*(1+Assumptions!$D$9)</f>
        <v>181884.12</v>
      </c>
      <c r="Q9" s="14">
        <f>Revenue_Forecast!$E$9*(1+Assumptions!$D$9)</f>
        <v>181884.12</v>
      </c>
      <c r="R9" s="14">
        <f>Revenue_Forecast!$E$9*(1+Assumptions!$D$9)</f>
        <v>181884.12</v>
      </c>
    </row>
    <row r="10" spans="1:18" x14ac:dyDescent="0.2">
      <c r="A10" s="8" t="s">
        <v>608</v>
      </c>
      <c r="B10" s="8" t="s">
        <v>609</v>
      </c>
      <c r="C10" s="14">
        <f>Revenue_Forecast!$E$10*(1+Assumptions!$D$10)</f>
        <v>49187.32</v>
      </c>
      <c r="D10" s="14">
        <f>Revenue_Forecast!$E$10*(1+Assumptions!$E$10)</f>
        <v>51349.399999999994</v>
      </c>
      <c r="E10" s="14">
        <f>Revenue_Forecast!$E$10*(1+Assumptions!$F$10)</f>
        <v>46484.72</v>
      </c>
      <c r="G10" s="14">
        <f>Revenue_Forecast!$E$10*(1+Assumptions!$F$10)</f>
        <v>46484.72</v>
      </c>
      <c r="H10" s="14">
        <f>Revenue_Forecast!$E$10*(1+Assumptions!$D$10)</f>
        <v>49187.32</v>
      </c>
      <c r="I10" s="14">
        <f>Revenue_Forecast!$E$10*(1+Assumptions!$D$10)</f>
        <v>49187.32</v>
      </c>
      <c r="J10" s="14">
        <f>Revenue_Forecast!$E$10*(1+Assumptions!$D$10)</f>
        <v>49187.32</v>
      </c>
      <c r="K10" s="14">
        <f>Revenue_Forecast!$E$10*(1+Assumptions!$D$10)</f>
        <v>49187.32</v>
      </c>
      <c r="L10" s="14">
        <f>Revenue_Forecast!$E$10*(1+Assumptions!$D$10)</f>
        <v>49187.32</v>
      </c>
      <c r="M10" s="14">
        <f>Revenue_Forecast!$E$10*(1+Assumptions!$E$10)</f>
        <v>51349.399999999994</v>
      </c>
      <c r="N10" s="14">
        <f>Revenue_Forecast!$E$10*(1+Assumptions!$D$10)</f>
        <v>49187.32</v>
      </c>
      <c r="O10" s="14">
        <f>Revenue_Forecast!$E$10*(1+Assumptions!$D$10)</f>
        <v>49187.32</v>
      </c>
      <c r="P10" s="14">
        <f>Revenue_Forecast!$E$10*(1+Assumptions!$D$10)</f>
        <v>49187.32</v>
      </c>
      <c r="Q10" s="14">
        <f>Revenue_Forecast!$E$10*(1+Assumptions!$D$10)</f>
        <v>49187.32</v>
      </c>
      <c r="R10" s="14">
        <f>Revenue_Forecast!$E$10*(1+Assumptions!$D$10)</f>
        <v>49187.32</v>
      </c>
    </row>
    <row r="11" spans="1:18" x14ac:dyDescent="0.2">
      <c r="A11" s="4" t="s">
        <v>206</v>
      </c>
      <c r="B11" s="4" t="s">
        <v>207</v>
      </c>
      <c r="C11" s="33">
        <f>C8+C9+C10</f>
        <v>386467.00000000006</v>
      </c>
      <c r="D11" s="33">
        <f>D8+D9+D10</f>
        <v>398318.55000000005</v>
      </c>
      <c r="E11" s="33">
        <f>E8+E9+E10</f>
        <v>368541.24</v>
      </c>
      <c r="G11" s="33">
        <f t="shared" ref="G11:R11" si="0">G8+G9+G10</f>
        <v>368541.24</v>
      </c>
      <c r="H11" s="33">
        <f t="shared" si="0"/>
        <v>386467.00000000006</v>
      </c>
      <c r="I11" s="33">
        <f t="shared" si="0"/>
        <v>386467.00000000006</v>
      </c>
      <c r="J11" s="33">
        <f t="shared" si="0"/>
        <v>386467.00000000006</v>
      </c>
      <c r="K11" s="33">
        <f t="shared" si="0"/>
        <v>386467.00000000006</v>
      </c>
      <c r="L11" s="33">
        <f t="shared" si="0"/>
        <v>386467.00000000006</v>
      </c>
      <c r="M11" s="33">
        <f t="shared" si="0"/>
        <v>398318.55000000005</v>
      </c>
      <c r="N11" s="33">
        <f t="shared" si="0"/>
        <v>386467.00000000006</v>
      </c>
      <c r="O11" s="33">
        <f t="shared" si="0"/>
        <v>386467.00000000006</v>
      </c>
      <c r="P11" s="33">
        <f t="shared" si="0"/>
        <v>386467.00000000006</v>
      </c>
      <c r="Q11" s="33">
        <f t="shared" si="0"/>
        <v>386467.00000000006</v>
      </c>
      <c r="R11" s="33">
        <f t="shared" si="0"/>
        <v>386467.00000000006</v>
      </c>
    </row>
    <row r="12" spans="1:18" x14ac:dyDescent="0.2">
      <c r="A12" s="8" t="s">
        <v>612</v>
      </c>
      <c r="B12" s="8" t="s">
        <v>384</v>
      </c>
      <c r="C12" s="15">
        <f>C11/Revenue_Forecast!$E$11-1</f>
        <v>0.16462200042791864</v>
      </c>
      <c r="D12" s="15">
        <f>D11/Revenue_Forecast!$E$11-1</f>
        <v>0.20033675969370712</v>
      </c>
      <c r="E12" s="15">
        <f>E11/Revenue_Forecast!$E$11-1</f>
        <v>0.11060255123719642</v>
      </c>
      <c r="G12" s="15">
        <f>G11/Revenue_Forecast!$E$11-1</f>
        <v>0.11060255123719642</v>
      </c>
      <c r="H12" s="15">
        <f>H11/Revenue_Forecast!$E$11-1</f>
        <v>0.16462200042791864</v>
      </c>
      <c r="I12" s="15">
        <f>I11/Revenue_Forecast!$E$11-1</f>
        <v>0.16462200042791864</v>
      </c>
      <c r="J12" s="15">
        <f>J11/Revenue_Forecast!$E$11-1</f>
        <v>0.16462200042791864</v>
      </c>
      <c r="K12" s="15">
        <f>K11/Revenue_Forecast!$E$11-1</f>
        <v>0.16462200042791864</v>
      </c>
      <c r="L12" s="15">
        <f>L11/Revenue_Forecast!$E$11-1</f>
        <v>0.16462200042791864</v>
      </c>
      <c r="M12" s="15">
        <f>M11/Revenue_Forecast!$E$11-1</f>
        <v>0.20033675969370712</v>
      </c>
      <c r="N12" s="15">
        <f>N11/Revenue_Forecast!$E$11-1</f>
        <v>0.16462200042791864</v>
      </c>
      <c r="O12" s="15">
        <f>O11/Revenue_Forecast!$E$11-1</f>
        <v>0.16462200042791864</v>
      </c>
      <c r="P12" s="15">
        <f>P11/Revenue_Forecast!$E$11-1</f>
        <v>0.16462200042791864</v>
      </c>
      <c r="Q12" s="15">
        <f>Q11/Revenue_Forecast!$E$11-1</f>
        <v>0.16462200042791864</v>
      </c>
      <c r="R12" s="15">
        <f>R11/Revenue_Forecast!$E$11-1</f>
        <v>0.16462200042791864</v>
      </c>
    </row>
    <row r="13" spans="1:18" x14ac:dyDescent="0.2">
      <c r="A13" s="8" t="s">
        <v>630</v>
      </c>
      <c r="B13" s="8" t="s">
        <v>631</v>
      </c>
      <c r="C13" s="14">
        <f>C11*(Operating_Forecast!$E$26+Assumptions!$D$11)</f>
        <v>79007.956509030002</v>
      </c>
      <c r="D13" s="14">
        <f>D11*(Operating_Forecast!$E$26+Assumptions!$E$11)</f>
        <v>79837.571577621085</v>
      </c>
      <c r="E13" s="14">
        <f>E11*(Operating_Forecast!$E$26+Assumptions!$F$11)</f>
        <v>79028.689475931402</v>
      </c>
      <c r="G13" s="14">
        <f>G11*(Operating_Forecast!$E$26+Assumptions!$D$11)</f>
        <v>75343.277075931401</v>
      </c>
      <c r="H13" s="14">
        <f>H11*(Operating_Forecast!$E$26+Assumptions!$F$11)</f>
        <v>82872.62650903</v>
      </c>
      <c r="I13" s="14">
        <f>I11*(Operating_Forecast!$E$26+Assumptions!$D$11)</f>
        <v>79007.956509030002</v>
      </c>
      <c r="J13" s="14">
        <f>J11*(Operating_Forecast!$E$26+Assumptions!$D$11)</f>
        <v>79007.956509030002</v>
      </c>
      <c r="K13" s="14">
        <f>K11*(Operating_Forecast!$E$26+Assumptions!$D$11)</f>
        <v>79007.956509030002</v>
      </c>
      <c r="L13" s="14">
        <f>L11*(Operating_Forecast!$E$26+Assumptions!$D$11)</f>
        <v>79007.956509030002</v>
      </c>
      <c r="M13" s="14">
        <f>M11*(Operating_Forecast!$E$26+Assumptions!$D$11)</f>
        <v>81430.845777621085</v>
      </c>
      <c r="N13" s="14">
        <f>N11*(Operating_Forecast!$E$26+Assumptions!$E$11)</f>
        <v>77462.08850903</v>
      </c>
      <c r="O13" s="14">
        <f>O11*(Operating_Forecast!$E$26+Assumptions!$D$11)</f>
        <v>79007.956509030002</v>
      </c>
      <c r="P13" s="14">
        <f>P11*(Operating_Forecast!$E$26+Assumptions!$D$11)</f>
        <v>79007.956509030002</v>
      </c>
      <c r="Q13" s="14">
        <f>Q11*(Operating_Forecast!$E$26+Assumptions!$D$11)</f>
        <v>79007.956509030002</v>
      </c>
      <c r="R13" s="14">
        <f>R11*(Operating_Forecast!$E$26+Assumptions!$D$11)</f>
        <v>79007.956509030002</v>
      </c>
    </row>
    <row r="14" spans="1:18" x14ac:dyDescent="0.2">
      <c r="A14" s="8" t="s">
        <v>633</v>
      </c>
      <c r="B14" s="8" t="s">
        <v>634</v>
      </c>
      <c r="C14" s="14">
        <f>C32+C33</f>
        <v>55282.468509999999</v>
      </c>
      <c r="D14" s="14">
        <f>D32+D33</f>
        <v>52480.016035000001</v>
      </c>
      <c r="E14" s="14">
        <f>E32+E33</f>
        <v>59523.001974999999</v>
      </c>
      <c r="G14" s="14">
        <f t="shared" ref="G14:R14" si="1">G32+G33</f>
        <v>55282.468509999999</v>
      </c>
      <c r="H14" s="14">
        <f t="shared" si="1"/>
        <v>55282.468509999999</v>
      </c>
      <c r="I14" s="14">
        <f t="shared" si="1"/>
        <v>55282.468509999999</v>
      </c>
      <c r="J14" s="14">
        <f t="shared" si="1"/>
        <v>58945.501974999999</v>
      </c>
      <c r="K14" s="14">
        <f t="shared" si="1"/>
        <v>55821.468509999999</v>
      </c>
      <c r="L14" s="14">
        <f t="shared" si="1"/>
        <v>55282.468509999999</v>
      </c>
      <c r="M14" s="14">
        <f t="shared" si="1"/>
        <v>55282.468509999999</v>
      </c>
      <c r="N14" s="14">
        <f t="shared" si="1"/>
        <v>55282.468509999999</v>
      </c>
      <c r="O14" s="14">
        <f t="shared" si="1"/>
        <v>55282.468509999999</v>
      </c>
      <c r="P14" s="14">
        <f t="shared" si="1"/>
        <v>52666.016035000001</v>
      </c>
      <c r="Q14" s="14">
        <f t="shared" si="1"/>
        <v>55086.468509999999</v>
      </c>
      <c r="R14" s="14">
        <f t="shared" si="1"/>
        <v>55282.468509999999</v>
      </c>
    </row>
    <row r="15" spans="1:18" x14ac:dyDescent="0.2">
      <c r="A15" s="8" t="s">
        <v>208</v>
      </c>
      <c r="B15" s="8" t="s">
        <v>209</v>
      </c>
      <c r="C15" s="14">
        <f>C13+C14</f>
        <v>134290.42501902999</v>
      </c>
      <c r="D15" s="14">
        <f>D13+D14</f>
        <v>132317.58761262108</v>
      </c>
      <c r="E15" s="14">
        <f>E13+E14</f>
        <v>138551.69145093139</v>
      </c>
      <c r="G15" s="14">
        <f t="shared" ref="G15:R15" si="2">G13+G14</f>
        <v>130625.74558593141</v>
      </c>
      <c r="H15" s="14">
        <f t="shared" si="2"/>
        <v>138155.09501903001</v>
      </c>
      <c r="I15" s="14">
        <f t="shared" si="2"/>
        <v>134290.42501902999</v>
      </c>
      <c r="J15" s="14">
        <f t="shared" si="2"/>
        <v>137953.45848403001</v>
      </c>
      <c r="K15" s="14">
        <f t="shared" si="2"/>
        <v>134829.42501902999</v>
      </c>
      <c r="L15" s="14">
        <f t="shared" si="2"/>
        <v>134290.42501902999</v>
      </c>
      <c r="M15" s="14">
        <f t="shared" si="2"/>
        <v>136713.31428762109</v>
      </c>
      <c r="N15" s="14">
        <f t="shared" si="2"/>
        <v>132744.55701903001</v>
      </c>
      <c r="O15" s="14">
        <f t="shared" si="2"/>
        <v>134290.42501902999</v>
      </c>
      <c r="P15" s="14">
        <f t="shared" si="2"/>
        <v>131673.97254403</v>
      </c>
      <c r="Q15" s="14">
        <f t="shared" si="2"/>
        <v>134094.42501902999</v>
      </c>
      <c r="R15" s="14">
        <f t="shared" si="2"/>
        <v>134290.42501902999</v>
      </c>
    </row>
    <row r="16" spans="1:18" x14ac:dyDescent="0.2">
      <c r="A16" s="4" t="s">
        <v>210</v>
      </c>
      <c r="B16" s="4" t="s">
        <v>211</v>
      </c>
      <c r="C16" s="33">
        <f>C11-C15</f>
        <v>252176.57498097006</v>
      </c>
      <c r="D16" s="33">
        <f>D11-D15</f>
        <v>266000.96238737897</v>
      </c>
      <c r="E16" s="33">
        <f>E11-E15</f>
        <v>229989.5485490686</v>
      </c>
      <c r="G16" s="33">
        <f t="shared" ref="G16:R16" si="3">G11-G15</f>
        <v>237915.49441406858</v>
      </c>
      <c r="H16" s="33">
        <f t="shared" si="3"/>
        <v>248311.90498097005</v>
      </c>
      <c r="I16" s="33">
        <f t="shared" si="3"/>
        <v>252176.57498097006</v>
      </c>
      <c r="J16" s="33">
        <f t="shared" si="3"/>
        <v>248513.54151597005</v>
      </c>
      <c r="K16" s="33">
        <f t="shared" si="3"/>
        <v>251637.57498097006</v>
      </c>
      <c r="L16" s="33">
        <f t="shared" si="3"/>
        <v>252176.57498097006</v>
      </c>
      <c r="M16" s="33">
        <f t="shared" si="3"/>
        <v>261605.23571237896</v>
      </c>
      <c r="N16" s="33">
        <f t="shared" si="3"/>
        <v>253722.44298097005</v>
      </c>
      <c r="O16" s="33">
        <f t="shared" si="3"/>
        <v>252176.57498097006</v>
      </c>
      <c r="P16" s="33">
        <f t="shared" si="3"/>
        <v>254793.02745597006</v>
      </c>
      <c r="Q16" s="33">
        <f t="shared" si="3"/>
        <v>252372.57498097006</v>
      </c>
      <c r="R16" s="33">
        <f t="shared" si="3"/>
        <v>252176.57498097006</v>
      </c>
    </row>
    <row r="17" spans="1:18" x14ac:dyDescent="0.2">
      <c r="A17" s="8" t="s">
        <v>638</v>
      </c>
      <c r="B17" s="8" t="s">
        <v>639</v>
      </c>
      <c r="C17" s="15">
        <f>C16/C11</f>
        <v>0.65251774402722618</v>
      </c>
      <c r="D17" s="15">
        <f>D16/D11</f>
        <v>0.66780962721263903</v>
      </c>
      <c r="E17" s="15">
        <f>E16/E11</f>
        <v>0.62405376545937874</v>
      </c>
      <c r="G17" s="15">
        <f t="shared" ref="G17:R17" si="4">G16/G11</f>
        <v>0.64556003125747496</v>
      </c>
      <c r="H17" s="15">
        <f t="shared" si="4"/>
        <v>0.64251774402722617</v>
      </c>
      <c r="I17" s="15">
        <f t="shared" si="4"/>
        <v>0.65251774402722618</v>
      </c>
      <c r="J17" s="15">
        <f t="shared" si="4"/>
        <v>0.64303948724204141</v>
      </c>
      <c r="K17" s="15">
        <f t="shared" si="4"/>
        <v>0.65112305832314277</v>
      </c>
      <c r="L17" s="15">
        <f t="shared" si="4"/>
        <v>0.65251774402722618</v>
      </c>
      <c r="M17" s="15">
        <f t="shared" si="4"/>
        <v>0.65677392055273076</v>
      </c>
      <c r="N17" s="15">
        <f t="shared" si="4"/>
        <v>0.65651774402722618</v>
      </c>
      <c r="O17" s="15">
        <f t="shared" si="4"/>
        <v>0.65251774402722618</v>
      </c>
      <c r="P17" s="15">
        <f t="shared" si="4"/>
        <v>0.65928792744521536</v>
      </c>
      <c r="Q17" s="15">
        <f t="shared" si="4"/>
        <v>0.65302490246507472</v>
      </c>
      <c r="R17" s="15">
        <f t="shared" si="4"/>
        <v>0.65251774402722618</v>
      </c>
    </row>
    <row r="18" spans="1:18" x14ac:dyDescent="0.2">
      <c r="A18" s="8" t="s">
        <v>641</v>
      </c>
      <c r="B18" s="8" t="s">
        <v>642</v>
      </c>
      <c r="C18" s="14">
        <f>Operating_Forecast!$E$17*(1+Assumptions!$D$12)</f>
        <v>75143.960000000006</v>
      </c>
      <c r="D18" s="14">
        <f>Operating_Forecast!$E$17*(1+Assumptions!$E$12)</f>
        <v>74441.680000000008</v>
      </c>
      <c r="E18" s="14">
        <f>Operating_Forecast!$E$17*(1+Assumptions!$F$12)</f>
        <v>76548.52</v>
      </c>
      <c r="G18" s="14">
        <f>Operating_Forecast!$E$17*(1+Assumptions!$D$12)</f>
        <v>75143.960000000006</v>
      </c>
      <c r="H18" s="14">
        <f>Operating_Forecast!$E$17*(1+Assumptions!$D$12)</f>
        <v>75143.960000000006</v>
      </c>
      <c r="I18" s="14">
        <f>Operating_Forecast!$E$17*(1+Assumptions!$F$12)</f>
        <v>76548.52</v>
      </c>
      <c r="J18" s="14">
        <f>Operating_Forecast!$E$17*(1+Assumptions!$D$12)</f>
        <v>75143.960000000006</v>
      </c>
      <c r="K18" s="14">
        <f>Operating_Forecast!$E$17*(1+Assumptions!$D$12)</f>
        <v>75143.960000000006</v>
      </c>
      <c r="L18" s="14">
        <f>Operating_Forecast!$E$17*(1+Assumptions!$D$12)</f>
        <v>75143.960000000006</v>
      </c>
      <c r="M18" s="14">
        <f>Operating_Forecast!$E$17*(1+Assumptions!$D$12)</f>
        <v>75143.960000000006</v>
      </c>
      <c r="N18" s="14">
        <f>Operating_Forecast!$E$17*(1+Assumptions!$D$12)</f>
        <v>75143.960000000006</v>
      </c>
      <c r="O18" s="14">
        <f>Operating_Forecast!$E$17*(1+Assumptions!$E$12)</f>
        <v>74441.680000000008</v>
      </c>
      <c r="P18" s="14">
        <f>Operating_Forecast!$E$17*(1+Assumptions!$D$12)</f>
        <v>75143.960000000006</v>
      </c>
      <c r="Q18" s="14">
        <f>Operating_Forecast!$E$17*(1+Assumptions!$D$12)</f>
        <v>75143.960000000006</v>
      </c>
      <c r="R18" s="14">
        <f>Operating_Forecast!$E$17*(1+Assumptions!$D$12)</f>
        <v>75143.960000000006</v>
      </c>
    </row>
    <row r="19" spans="1:18" x14ac:dyDescent="0.2">
      <c r="A19" s="4" t="s">
        <v>218</v>
      </c>
      <c r="B19" s="4" t="s">
        <v>219</v>
      </c>
      <c r="C19" s="33">
        <f>C16-C18</f>
        <v>177032.61498097004</v>
      </c>
      <c r="D19" s="33">
        <f>D16-D18</f>
        <v>191559.28238737897</v>
      </c>
      <c r="E19" s="33">
        <f>E16-E18</f>
        <v>153441.02854906861</v>
      </c>
      <c r="G19" s="33">
        <f t="shared" ref="G19:R19" si="5">G16-G18</f>
        <v>162771.53441406856</v>
      </c>
      <c r="H19" s="33">
        <f t="shared" si="5"/>
        <v>173167.94498097006</v>
      </c>
      <c r="I19" s="33">
        <f t="shared" si="5"/>
        <v>175628.05498097005</v>
      </c>
      <c r="J19" s="33">
        <f t="shared" si="5"/>
        <v>173369.58151597006</v>
      </c>
      <c r="K19" s="33">
        <f t="shared" si="5"/>
        <v>176493.61498097004</v>
      </c>
      <c r="L19" s="33">
        <f t="shared" si="5"/>
        <v>177032.61498097004</v>
      </c>
      <c r="M19" s="33">
        <f t="shared" si="5"/>
        <v>186461.27571237896</v>
      </c>
      <c r="N19" s="33">
        <f t="shared" si="5"/>
        <v>178578.48298097006</v>
      </c>
      <c r="O19" s="33">
        <f t="shared" si="5"/>
        <v>177734.89498097007</v>
      </c>
      <c r="P19" s="33">
        <f t="shared" si="5"/>
        <v>179649.06745597004</v>
      </c>
      <c r="Q19" s="33">
        <f t="shared" si="5"/>
        <v>177228.61498097004</v>
      </c>
      <c r="R19" s="33">
        <f t="shared" si="5"/>
        <v>177032.61498097004</v>
      </c>
    </row>
    <row r="20" spans="1:18" x14ac:dyDescent="0.2">
      <c r="A20" s="8" t="s">
        <v>645</v>
      </c>
      <c r="B20" s="8" t="s">
        <v>646</v>
      </c>
      <c r="C20" s="15">
        <f>C19/C11</f>
        <v>0.45807951256115015</v>
      </c>
      <c r="D20" s="15">
        <f>D19/D11</f>
        <v>0.48091981251533217</v>
      </c>
      <c r="E20" s="15">
        <f>E19/E11</f>
        <v>0.41634696987796699</v>
      </c>
      <c r="G20" s="15">
        <f t="shared" ref="G20:R20" si="6">G19/G11</f>
        <v>0.44166436953994231</v>
      </c>
      <c r="H20" s="15">
        <f t="shared" si="6"/>
        <v>0.4480795125611502</v>
      </c>
      <c r="I20" s="15">
        <f t="shared" si="6"/>
        <v>0.45444515309449451</v>
      </c>
      <c r="J20" s="15">
        <f t="shared" si="6"/>
        <v>0.44860125577596544</v>
      </c>
      <c r="K20" s="15">
        <f t="shared" si="6"/>
        <v>0.45668482685706674</v>
      </c>
      <c r="L20" s="15">
        <f t="shared" si="6"/>
        <v>0.45807951256115015</v>
      </c>
      <c r="M20" s="15">
        <f t="shared" si="6"/>
        <v>0.46812099439601529</v>
      </c>
      <c r="N20" s="15">
        <f t="shared" si="6"/>
        <v>0.46207951256115021</v>
      </c>
      <c r="O20" s="15">
        <f t="shared" si="6"/>
        <v>0.45989669229447805</v>
      </c>
      <c r="P20" s="15">
        <f t="shared" si="6"/>
        <v>0.46484969597913928</v>
      </c>
      <c r="Q20" s="15">
        <f t="shared" si="6"/>
        <v>0.45858667099899869</v>
      </c>
      <c r="R20" s="15">
        <f t="shared" si="6"/>
        <v>0.45807951256115015</v>
      </c>
    </row>
    <row r="21" spans="1:18" x14ac:dyDescent="0.2">
      <c r="A21" s="8" t="s">
        <v>220</v>
      </c>
      <c r="B21" s="8" t="s">
        <v>221</v>
      </c>
      <c r="C21" s="14">
        <f>Assumptions!$D$18</f>
        <v>-400</v>
      </c>
      <c r="D21" s="14">
        <f>Assumptions!$E$18</f>
        <v>0</v>
      </c>
      <c r="E21" s="14">
        <f>Assumptions!$F$18</f>
        <v>-1000</v>
      </c>
      <c r="G21" s="14">
        <f>Assumptions!$D$18</f>
        <v>-400</v>
      </c>
      <c r="H21" s="14">
        <f>Assumptions!$D$18</f>
        <v>-400</v>
      </c>
      <c r="I21" s="14">
        <f>Assumptions!$D$18</f>
        <v>-400</v>
      </c>
      <c r="J21" s="14">
        <f>Assumptions!$D$18</f>
        <v>-400</v>
      </c>
      <c r="K21" s="14">
        <f>Assumptions!$D$18</f>
        <v>-400</v>
      </c>
      <c r="L21" s="14">
        <f>Assumptions!$D$18</f>
        <v>-400</v>
      </c>
      <c r="M21" s="14">
        <f>Assumptions!$D$18</f>
        <v>-400</v>
      </c>
      <c r="N21" s="14">
        <f>Assumptions!$D$18</f>
        <v>-400</v>
      </c>
      <c r="O21" s="14">
        <f>Assumptions!$D$18</f>
        <v>-400</v>
      </c>
      <c r="P21" s="14">
        <f>Assumptions!$D$18</f>
        <v>-400</v>
      </c>
      <c r="Q21" s="14">
        <f>Assumptions!$D$18</f>
        <v>-400</v>
      </c>
      <c r="R21" s="14">
        <f>Assumptions!$D$18</f>
        <v>-400</v>
      </c>
    </row>
    <row r="22" spans="1:18" x14ac:dyDescent="0.2">
      <c r="A22" s="8" t="s">
        <v>222</v>
      </c>
      <c r="B22" s="8" t="s">
        <v>223</v>
      </c>
      <c r="C22" s="14">
        <f>C19+C21</f>
        <v>176632.61498097004</v>
      </c>
      <c r="D22" s="14">
        <f>D19+D21</f>
        <v>191559.28238737897</v>
      </c>
      <c r="E22" s="14">
        <f>E19+E21</f>
        <v>152441.02854906861</v>
      </c>
      <c r="G22" s="14">
        <f t="shared" ref="G22:R22" si="7">G19+G21</f>
        <v>162371.53441406856</v>
      </c>
      <c r="H22" s="14">
        <f t="shared" si="7"/>
        <v>172767.94498097006</v>
      </c>
      <c r="I22" s="14">
        <f t="shared" si="7"/>
        <v>175228.05498097005</v>
      </c>
      <c r="J22" s="14">
        <f t="shared" si="7"/>
        <v>172969.58151597006</v>
      </c>
      <c r="K22" s="14">
        <f t="shared" si="7"/>
        <v>176093.61498097004</v>
      </c>
      <c r="L22" s="14">
        <f t="shared" si="7"/>
        <v>176632.61498097004</v>
      </c>
      <c r="M22" s="14">
        <f t="shared" si="7"/>
        <v>186061.27571237896</v>
      </c>
      <c r="N22" s="14">
        <f t="shared" si="7"/>
        <v>178178.48298097006</v>
      </c>
      <c r="O22" s="14">
        <f t="shared" si="7"/>
        <v>177334.89498097007</v>
      </c>
      <c r="P22" s="14">
        <f t="shared" si="7"/>
        <v>179249.06745597004</v>
      </c>
      <c r="Q22" s="14">
        <f t="shared" si="7"/>
        <v>176828.61498097004</v>
      </c>
      <c r="R22" s="14">
        <f t="shared" si="7"/>
        <v>176632.61498097004</v>
      </c>
    </row>
    <row r="23" spans="1:18" x14ac:dyDescent="0.2">
      <c r="A23" s="8" t="s">
        <v>224</v>
      </c>
      <c r="B23" s="8" t="s">
        <v>225</v>
      </c>
      <c r="C23" s="14">
        <f>MAX(C22,0)*Assumptions!$D$19</f>
        <v>35326.522996194013</v>
      </c>
      <c r="D23" s="14">
        <f>MAX(D22,0)*Assumptions!$E$19</f>
        <v>38311.856477475798</v>
      </c>
      <c r="E23" s="14">
        <f>MAX(E22,0)*Assumptions!$F$19</f>
        <v>30488.205709813723</v>
      </c>
      <c r="G23" s="14">
        <f>MAX(G22,0)*Assumptions!$D$19</f>
        <v>32474.306882813715</v>
      </c>
      <c r="H23" s="14">
        <f>MAX(H22,0)*Assumptions!$D$19</f>
        <v>34553.588996194012</v>
      </c>
      <c r="I23" s="14">
        <f>MAX(I22,0)*Assumptions!$D$19</f>
        <v>35045.610996194009</v>
      </c>
      <c r="J23" s="14">
        <f>MAX(J22,0)*Assumptions!$D$19</f>
        <v>34593.916303194012</v>
      </c>
      <c r="K23" s="14">
        <f>MAX(K22,0)*Assumptions!$D$19</f>
        <v>35218.72299619401</v>
      </c>
      <c r="L23" s="14">
        <f>MAX(L22,0)*Assumptions!$D$19</f>
        <v>35326.522996194013</v>
      </c>
      <c r="M23" s="14">
        <f>MAX(M22,0)*Assumptions!$D$19</f>
        <v>37212.255142475791</v>
      </c>
      <c r="N23" s="14">
        <f>MAX(N22,0)*Assumptions!$D$19</f>
        <v>35635.696596194015</v>
      </c>
      <c r="O23" s="14">
        <f>MAX(O22,0)*Assumptions!$D$19</f>
        <v>35466.978996194019</v>
      </c>
      <c r="P23" s="14">
        <f>MAX(P22,0)*Assumptions!$D$19</f>
        <v>35849.813491194007</v>
      </c>
      <c r="Q23" s="14">
        <f>MAX(Q22,0)*Assumptions!$D$19</f>
        <v>35365.72299619401</v>
      </c>
      <c r="R23" s="14">
        <f>MAX(R22,0)*Assumptions!$D$19</f>
        <v>35326.522996194013</v>
      </c>
    </row>
    <row r="24" spans="1:18" x14ac:dyDescent="0.2">
      <c r="A24" s="4" t="s">
        <v>226</v>
      </c>
      <c r="B24" s="4" t="s">
        <v>227</v>
      </c>
      <c r="C24" s="33">
        <f>C22-C23</f>
        <v>141306.09198477602</v>
      </c>
      <c r="D24" s="33">
        <f>D22-D23</f>
        <v>153247.42590990319</v>
      </c>
      <c r="E24" s="33">
        <f>E22-E23</f>
        <v>121952.82283925489</v>
      </c>
      <c r="G24" s="33">
        <f t="shared" ref="G24:R24" si="8">G22-G23</f>
        <v>129897.22753125484</v>
      </c>
      <c r="H24" s="33">
        <f t="shared" si="8"/>
        <v>138214.35598477605</v>
      </c>
      <c r="I24" s="33">
        <f t="shared" si="8"/>
        <v>140182.44398477604</v>
      </c>
      <c r="J24" s="33">
        <f t="shared" si="8"/>
        <v>138375.66521277605</v>
      </c>
      <c r="K24" s="33">
        <f t="shared" si="8"/>
        <v>140874.89198477604</v>
      </c>
      <c r="L24" s="33">
        <f t="shared" si="8"/>
        <v>141306.09198477602</v>
      </c>
      <c r="M24" s="33">
        <f t="shared" si="8"/>
        <v>148849.02056990316</v>
      </c>
      <c r="N24" s="33">
        <f t="shared" si="8"/>
        <v>142542.78638477606</v>
      </c>
      <c r="O24" s="33">
        <f t="shared" si="8"/>
        <v>141867.91598477605</v>
      </c>
      <c r="P24" s="33">
        <f t="shared" si="8"/>
        <v>143399.25396477603</v>
      </c>
      <c r="Q24" s="33">
        <f t="shared" si="8"/>
        <v>141462.89198477604</v>
      </c>
      <c r="R24" s="33">
        <f t="shared" si="8"/>
        <v>141306.09198477602</v>
      </c>
    </row>
    <row r="25" spans="1:18" x14ac:dyDescent="0.2">
      <c r="A25" s="8" t="s">
        <v>671</v>
      </c>
      <c r="B25" s="8" t="s">
        <v>672</v>
      </c>
      <c r="C25" s="14">
        <f>Assumptions!$D$13</f>
        <v>184000</v>
      </c>
      <c r="D25" s="14">
        <f>Assumptions!$E$13</f>
        <v>180000</v>
      </c>
      <c r="E25" s="14">
        <f>Assumptions!$F$13</f>
        <v>195000</v>
      </c>
      <c r="G25" s="14">
        <f>Assumptions!$D$13</f>
        <v>184000</v>
      </c>
      <c r="H25" s="14">
        <f>Assumptions!$D$13</f>
        <v>184000</v>
      </c>
      <c r="I25" s="14">
        <f>Assumptions!$D$13</f>
        <v>184000</v>
      </c>
      <c r="J25" s="14">
        <f>Assumptions!$D$13</f>
        <v>184000</v>
      </c>
      <c r="K25" s="14">
        <f>Assumptions!$F$13</f>
        <v>195000</v>
      </c>
      <c r="L25" s="14">
        <f>Assumptions!$D$13</f>
        <v>184000</v>
      </c>
      <c r="M25" s="14">
        <f>Assumptions!$D$13</f>
        <v>184000</v>
      </c>
      <c r="N25" s="14">
        <f>Assumptions!$D$13</f>
        <v>184000</v>
      </c>
      <c r="O25" s="14">
        <f>Assumptions!$D$13</f>
        <v>184000</v>
      </c>
      <c r="P25" s="14">
        <f>Assumptions!$D$13</f>
        <v>184000</v>
      </c>
      <c r="Q25" s="14">
        <f>Assumptions!$E$13</f>
        <v>180000</v>
      </c>
      <c r="R25" s="14">
        <f>Assumptions!$D$13</f>
        <v>184000</v>
      </c>
    </row>
    <row r="26" spans="1:18" x14ac:dyDescent="0.2">
      <c r="A26" s="8" t="s">
        <v>674</v>
      </c>
      <c r="B26" s="8" t="s">
        <v>834</v>
      </c>
      <c r="C26" s="14">
        <f>Assumptions!$D$14</f>
        <v>12000</v>
      </c>
      <c r="D26" s="14">
        <f>Assumptions!$E$14</f>
        <v>12000</v>
      </c>
      <c r="E26" s="14">
        <f>Assumptions!$F$14</f>
        <v>12000</v>
      </c>
      <c r="G26" s="14">
        <f>Assumptions!$D$14</f>
        <v>12000</v>
      </c>
      <c r="H26" s="14">
        <f>Assumptions!$D$14</f>
        <v>12000</v>
      </c>
      <c r="I26" s="14">
        <f>Assumptions!$D$14</f>
        <v>12000</v>
      </c>
      <c r="J26" s="14">
        <f>Assumptions!$D$14</f>
        <v>12000</v>
      </c>
      <c r="K26" s="14">
        <f>Assumptions!$D$14</f>
        <v>12000</v>
      </c>
      <c r="L26" s="14">
        <f>Assumptions!$D$14</f>
        <v>12000</v>
      </c>
      <c r="M26" s="14">
        <f>Assumptions!$D$14</f>
        <v>12000</v>
      </c>
      <c r="N26" s="14">
        <f>Assumptions!$D$14</f>
        <v>12000</v>
      </c>
      <c r="O26" s="14">
        <f>Assumptions!$D$14</f>
        <v>12000</v>
      </c>
      <c r="P26" s="14">
        <f>Assumptions!$D$14</f>
        <v>12000</v>
      </c>
      <c r="Q26" s="14">
        <f>Assumptions!$D$14</f>
        <v>12000</v>
      </c>
      <c r="R26" s="14">
        <f>Assumptions!$D$14</f>
        <v>12000</v>
      </c>
    </row>
    <row r="27" spans="1:18" x14ac:dyDescent="0.2">
      <c r="A27" s="8" t="s">
        <v>677</v>
      </c>
      <c r="B27" s="8" t="s">
        <v>412</v>
      </c>
      <c r="C27" s="14">
        <f>C25+C26</f>
        <v>196000</v>
      </c>
      <c r="D27" s="14">
        <f>D25+D26</f>
        <v>192000</v>
      </c>
      <c r="E27" s="14">
        <f>E25+E26</f>
        <v>207000</v>
      </c>
      <c r="G27" s="14">
        <f t="shared" ref="G27:R27" si="9">G25+G26</f>
        <v>196000</v>
      </c>
      <c r="H27" s="14">
        <f t="shared" si="9"/>
        <v>196000</v>
      </c>
      <c r="I27" s="14">
        <f t="shared" si="9"/>
        <v>196000</v>
      </c>
      <c r="J27" s="14">
        <f t="shared" si="9"/>
        <v>196000</v>
      </c>
      <c r="K27" s="14">
        <f t="shared" si="9"/>
        <v>207000</v>
      </c>
      <c r="L27" s="14">
        <f t="shared" si="9"/>
        <v>196000</v>
      </c>
      <c r="M27" s="14">
        <f t="shared" si="9"/>
        <v>196000</v>
      </c>
      <c r="N27" s="14">
        <f t="shared" si="9"/>
        <v>196000</v>
      </c>
      <c r="O27" s="14">
        <f t="shared" si="9"/>
        <v>196000</v>
      </c>
      <c r="P27" s="14">
        <f t="shared" si="9"/>
        <v>196000</v>
      </c>
      <c r="Q27" s="14">
        <f t="shared" si="9"/>
        <v>192000</v>
      </c>
      <c r="R27" s="14">
        <f t="shared" si="9"/>
        <v>196000</v>
      </c>
    </row>
    <row r="28" spans="1:18" x14ac:dyDescent="0.2">
      <c r="A28" s="8" t="s">
        <v>684</v>
      </c>
      <c r="B28" s="8" t="s">
        <v>685</v>
      </c>
      <c r="C28" s="15">
        <f>C25/C11</f>
        <v>0.47610792124553963</v>
      </c>
      <c r="D28" s="15">
        <f>D25/D11</f>
        <v>0.45189961652551702</v>
      </c>
      <c r="E28" s="15">
        <f>E25/E11</f>
        <v>0.52911310549668744</v>
      </c>
      <c r="G28" s="15">
        <f t="shared" ref="G28:R28" si="10">G25/G11</f>
        <v>0.49926569954559225</v>
      </c>
      <c r="H28" s="15">
        <f t="shared" si="10"/>
        <v>0.47610792124553963</v>
      </c>
      <c r="I28" s="15">
        <f t="shared" si="10"/>
        <v>0.47610792124553963</v>
      </c>
      <c r="J28" s="15">
        <f t="shared" si="10"/>
        <v>0.47610792124553963</v>
      </c>
      <c r="K28" s="15">
        <f t="shared" si="10"/>
        <v>0.50457089479826212</v>
      </c>
      <c r="L28" s="15">
        <f t="shared" si="10"/>
        <v>0.47610792124553963</v>
      </c>
      <c r="M28" s="15">
        <f t="shared" si="10"/>
        <v>0.46194183022608409</v>
      </c>
      <c r="N28" s="15">
        <f t="shared" si="10"/>
        <v>0.47610792124553963</v>
      </c>
      <c r="O28" s="15">
        <f t="shared" si="10"/>
        <v>0.47610792124553963</v>
      </c>
      <c r="P28" s="15">
        <f t="shared" si="10"/>
        <v>0.47610792124553963</v>
      </c>
      <c r="Q28" s="15">
        <f t="shared" si="10"/>
        <v>0.46575774904454964</v>
      </c>
      <c r="R28" s="15">
        <f t="shared" si="10"/>
        <v>0.47610792124553963</v>
      </c>
    </row>
    <row r="29" spans="1:18" x14ac:dyDescent="0.2">
      <c r="A29" s="8" t="s">
        <v>695</v>
      </c>
      <c r="B29" s="8" t="s">
        <v>835</v>
      </c>
      <c r="C29" s="14">
        <f>Capex_and_Depreciation!$E$22*Assumptions!$D$15</f>
        <v>12953.01</v>
      </c>
      <c r="D29" s="14">
        <f>Capex_and_Depreciation!$E$22*Assumptions!$E$15</f>
        <v>12953.01</v>
      </c>
      <c r="E29" s="14">
        <f>Capex_and_Depreciation!$E$22*Assumptions!$F$15</f>
        <v>12953.01</v>
      </c>
      <c r="G29" s="14">
        <f>Capex_and_Depreciation!$E$22*Assumptions!$D$15</f>
        <v>12953.01</v>
      </c>
      <c r="H29" s="14">
        <f>Capex_and_Depreciation!$E$22*Assumptions!$D$15</f>
        <v>12953.01</v>
      </c>
      <c r="I29" s="14">
        <f>Capex_and_Depreciation!$E$22*Assumptions!$D$15</f>
        <v>12953.01</v>
      </c>
      <c r="J29" s="14">
        <f>Capex_and_Depreciation!$E$22*Assumptions!$D$15</f>
        <v>12953.01</v>
      </c>
      <c r="K29" s="14">
        <f>Capex_and_Depreciation!$E$22*Assumptions!$D$15</f>
        <v>12953.01</v>
      </c>
      <c r="L29" s="14">
        <f>Capex_and_Depreciation!$E$22*Assumptions!$D$15</f>
        <v>12953.01</v>
      </c>
      <c r="M29" s="14">
        <f>Capex_and_Depreciation!$E$22*Assumptions!$D$15</f>
        <v>12953.01</v>
      </c>
      <c r="N29" s="14">
        <f>Capex_and_Depreciation!$E$22*Assumptions!$D$15</f>
        <v>12953.01</v>
      </c>
      <c r="O29" s="14">
        <f>Capex_and_Depreciation!$E$22*Assumptions!$D$15</f>
        <v>12953.01</v>
      </c>
      <c r="P29" s="14">
        <f>Capex_and_Depreciation!$E$22*Assumptions!$D$15</f>
        <v>12953.01</v>
      </c>
      <c r="Q29" s="14">
        <f>Capex_and_Depreciation!$E$22*Assumptions!$D$15</f>
        <v>12953.01</v>
      </c>
      <c r="R29" s="14">
        <f>Capex_and_Depreciation!$E$22*Assumptions!$D$15</f>
        <v>12953.01</v>
      </c>
    </row>
    <row r="30" spans="1:18" x14ac:dyDescent="0.2">
      <c r="A30" s="8" t="s">
        <v>701</v>
      </c>
      <c r="B30" s="8" t="s">
        <v>702</v>
      </c>
      <c r="C30" s="14">
        <f>Capex_and_Depreciation!$E$22+C25+C26-C29</f>
        <v>614813.99</v>
      </c>
      <c r="D30" s="14">
        <f>Capex_and_Depreciation!$E$22+D25+D26-D29</f>
        <v>610813.99</v>
      </c>
      <c r="E30" s="14">
        <f>Capex_and_Depreciation!$E$22+E25+E26-E29</f>
        <v>625813.99</v>
      </c>
      <c r="G30" s="14">
        <f>Capex_and_Depreciation!$E$22+G25+G26-G29</f>
        <v>614813.99</v>
      </c>
      <c r="H30" s="14">
        <f>Capex_and_Depreciation!$E$22+H25+H26-H29</f>
        <v>614813.99</v>
      </c>
      <c r="I30" s="14">
        <f>Capex_and_Depreciation!$E$22+I25+I26-I29</f>
        <v>614813.99</v>
      </c>
      <c r="J30" s="14">
        <f>Capex_and_Depreciation!$E$22+J25+J26-J29</f>
        <v>614813.99</v>
      </c>
      <c r="K30" s="14">
        <f>Capex_and_Depreciation!$E$22+K25+K26-K29</f>
        <v>625813.99</v>
      </c>
      <c r="L30" s="14">
        <f>Capex_and_Depreciation!$E$22+L25+L26-L29</f>
        <v>614813.99</v>
      </c>
      <c r="M30" s="14">
        <f>Capex_and_Depreciation!$E$22+M25+M26-M29</f>
        <v>614813.99</v>
      </c>
      <c r="N30" s="14">
        <f>Capex_and_Depreciation!$E$22+N25+N26-N29</f>
        <v>614813.99</v>
      </c>
      <c r="O30" s="14">
        <f>Capex_and_Depreciation!$E$22+O25+O26-O29</f>
        <v>614813.99</v>
      </c>
      <c r="P30" s="14">
        <f>Capex_and_Depreciation!$E$22+P25+P26-P29</f>
        <v>614813.99</v>
      </c>
      <c r="Q30" s="14">
        <f>Capex_and_Depreciation!$E$22+Q25+Q26-Q29</f>
        <v>610813.99</v>
      </c>
      <c r="R30" s="14">
        <f>Capex_and_Depreciation!$E$22+R25+R26-R29</f>
        <v>614813.99</v>
      </c>
    </row>
    <row r="31" spans="1:18" x14ac:dyDescent="0.2">
      <c r="A31" s="8" t="s">
        <v>704</v>
      </c>
      <c r="B31" s="8" t="s">
        <v>705</v>
      </c>
      <c r="C31" s="14">
        <f>(Capex_and_Depreciation!$E$22+C30)/2</f>
        <v>523290.495</v>
      </c>
      <c r="D31" s="14">
        <f>(Capex_and_Depreciation!$E$22+D30)/2</f>
        <v>521290.495</v>
      </c>
      <c r="E31" s="14">
        <f>(Capex_and_Depreciation!$E$22+E30)/2</f>
        <v>528790.495</v>
      </c>
      <c r="G31" s="14">
        <f>(Capex_and_Depreciation!$E$22+G30)/2</f>
        <v>523290.495</v>
      </c>
      <c r="H31" s="14">
        <f>(Capex_and_Depreciation!$E$22+H30)/2</f>
        <v>523290.495</v>
      </c>
      <c r="I31" s="14">
        <f>(Capex_and_Depreciation!$E$22+I30)/2</f>
        <v>523290.495</v>
      </c>
      <c r="J31" s="14">
        <f>(Capex_and_Depreciation!$E$22+J30)/2</f>
        <v>523290.495</v>
      </c>
      <c r="K31" s="14">
        <f>(Capex_and_Depreciation!$E$22+K30)/2</f>
        <v>528790.495</v>
      </c>
      <c r="L31" s="14">
        <f>(Capex_and_Depreciation!$E$22+L30)/2</f>
        <v>523290.495</v>
      </c>
      <c r="M31" s="14">
        <f>(Capex_and_Depreciation!$E$22+M30)/2</f>
        <v>523290.495</v>
      </c>
      <c r="N31" s="14">
        <f>(Capex_and_Depreciation!$E$22+N30)/2</f>
        <v>523290.495</v>
      </c>
      <c r="O31" s="14">
        <f>(Capex_and_Depreciation!$E$22+O30)/2</f>
        <v>523290.495</v>
      </c>
      <c r="P31" s="14">
        <f>(Capex_and_Depreciation!$E$22+P30)/2</f>
        <v>523290.495</v>
      </c>
      <c r="Q31" s="14">
        <f>(Capex_and_Depreciation!$E$22+Q30)/2</f>
        <v>521290.495</v>
      </c>
      <c r="R31" s="14">
        <f>(Capex_and_Depreciation!$E$22+R30)/2</f>
        <v>523290.495</v>
      </c>
    </row>
    <row r="32" spans="1:18" x14ac:dyDescent="0.2">
      <c r="A32" s="8" t="s">
        <v>329</v>
      </c>
      <c r="B32" s="8" t="s">
        <v>706</v>
      </c>
      <c r="C32" s="14">
        <f>C31*Assumptions!$D$16</f>
        <v>51282.468509999999</v>
      </c>
      <c r="D32" s="14">
        <f>D31*Assumptions!$E$16</f>
        <v>48480.016035000001</v>
      </c>
      <c r="E32" s="14">
        <f>E31*Assumptions!$F$16</f>
        <v>55523.001974999999</v>
      </c>
      <c r="G32" s="14">
        <f>G31*Assumptions!$D$16</f>
        <v>51282.468509999999</v>
      </c>
      <c r="H32" s="14">
        <f>H31*Assumptions!$D$16</f>
        <v>51282.468509999999</v>
      </c>
      <c r="I32" s="14">
        <f>I31*Assumptions!$D$16</f>
        <v>51282.468509999999</v>
      </c>
      <c r="J32" s="14">
        <f>J31*Assumptions!$F$16</f>
        <v>54945.501974999999</v>
      </c>
      <c r="K32" s="14">
        <f>K31*Assumptions!$D$16</f>
        <v>51821.468509999999</v>
      </c>
      <c r="L32" s="14">
        <f>L31*Assumptions!$D$16</f>
        <v>51282.468509999999</v>
      </c>
      <c r="M32" s="14">
        <f>M31*Assumptions!$D$16</f>
        <v>51282.468509999999</v>
      </c>
      <c r="N32" s="14">
        <f>N31*Assumptions!$D$16</f>
        <v>51282.468509999999</v>
      </c>
      <c r="O32" s="14">
        <f>O31*Assumptions!$D$16</f>
        <v>51282.468509999999</v>
      </c>
      <c r="P32" s="14">
        <f>P31*Assumptions!$E$16</f>
        <v>48666.016035000001</v>
      </c>
      <c r="Q32" s="14">
        <f>Q31*Assumptions!$D$16</f>
        <v>51086.468509999999</v>
      </c>
      <c r="R32" s="14">
        <f>R31*Assumptions!$D$16</f>
        <v>51282.468509999999</v>
      </c>
    </row>
    <row r="33" spans="1:18" x14ac:dyDescent="0.2">
      <c r="A33" s="8" t="s">
        <v>710</v>
      </c>
      <c r="B33" s="8" t="s">
        <v>540</v>
      </c>
      <c r="C33" s="14">
        <f>Assumptions!$D$17</f>
        <v>4000</v>
      </c>
      <c r="D33" s="14">
        <f>Assumptions!$E$17</f>
        <v>4000</v>
      </c>
      <c r="E33" s="14">
        <f>Assumptions!$F$17</f>
        <v>4000</v>
      </c>
      <c r="G33" s="14">
        <f>Assumptions!$D$17</f>
        <v>4000</v>
      </c>
      <c r="H33" s="14">
        <f>Assumptions!$D$17</f>
        <v>4000</v>
      </c>
      <c r="I33" s="14">
        <f>Assumptions!$D$17</f>
        <v>4000</v>
      </c>
      <c r="J33" s="14">
        <f>Assumptions!$D$17</f>
        <v>4000</v>
      </c>
      <c r="K33" s="14">
        <f>Assumptions!$D$17</f>
        <v>4000</v>
      </c>
      <c r="L33" s="14">
        <f>Assumptions!$D$17</f>
        <v>4000</v>
      </c>
      <c r="M33" s="14">
        <f>Assumptions!$D$17</f>
        <v>4000</v>
      </c>
      <c r="N33" s="14">
        <f>Assumptions!$D$17</f>
        <v>4000</v>
      </c>
      <c r="O33" s="14">
        <f>Assumptions!$D$17</f>
        <v>4000</v>
      </c>
      <c r="P33" s="14">
        <f>Assumptions!$D$17</f>
        <v>4000</v>
      </c>
      <c r="Q33" s="14">
        <f>Assumptions!$D$17</f>
        <v>4000</v>
      </c>
      <c r="R33" s="14">
        <f>Assumptions!$D$17</f>
        <v>4000</v>
      </c>
    </row>
    <row r="34" spans="1:18" x14ac:dyDescent="0.2">
      <c r="A34" s="8" t="s">
        <v>715</v>
      </c>
      <c r="B34" s="8" t="s">
        <v>716</v>
      </c>
      <c r="C34" s="14">
        <f>Capex_and_Depreciation!$E$29+C32-C29</f>
        <v>157020.45851</v>
      </c>
      <c r="D34" s="14">
        <f>Capex_and_Depreciation!$E$29+D32-D29</f>
        <v>154218.006035</v>
      </c>
      <c r="E34" s="14">
        <f>Capex_and_Depreciation!$E$29+E32-E29</f>
        <v>161260.99197499998</v>
      </c>
      <c r="G34" s="14">
        <f>Capex_and_Depreciation!$E$29+G32-G29</f>
        <v>157020.45851</v>
      </c>
      <c r="H34" s="14">
        <f>Capex_and_Depreciation!$E$29+H32-H29</f>
        <v>157020.45851</v>
      </c>
      <c r="I34" s="14">
        <f>Capex_and_Depreciation!$E$29+I32-I29</f>
        <v>157020.45851</v>
      </c>
      <c r="J34" s="14">
        <f>Capex_and_Depreciation!$E$29+J32-J29</f>
        <v>160683.49197499998</v>
      </c>
      <c r="K34" s="14">
        <f>Capex_and_Depreciation!$E$29+K32-K29</f>
        <v>157559.45851</v>
      </c>
      <c r="L34" s="14">
        <f>Capex_and_Depreciation!$E$29+L32-L29</f>
        <v>157020.45851</v>
      </c>
      <c r="M34" s="14">
        <f>Capex_and_Depreciation!$E$29+M32-M29</f>
        <v>157020.45851</v>
      </c>
      <c r="N34" s="14">
        <f>Capex_and_Depreciation!$E$29+N32-N29</f>
        <v>157020.45851</v>
      </c>
      <c r="O34" s="14">
        <f>Capex_and_Depreciation!$E$29+O32-O29</f>
        <v>157020.45851</v>
      </c>
      <c r="P34" s="14">
        <f>Capex_and_Depreciation!$E$29+P32-P29</f>
        <v>154404.006035</v>
      </c>
      <c r="Q34" s="14">
        <f>Capex_and_Depreciation!$E$29+Q32-Q29</f>
        <v>156824.45851</v>
      </c>
      <c r="R34" s="14">
        <f>Capex_and_Depreciation!$E$29+R32-R29</f>
        <v>157020.45851</v>
      </c>
    </row>
    <row r="35" spans="1:18" x14ac:dyDescent="0.2">
      <c r="A35" s="8" t="s">
        <v>718</v>
      </c>
      <c r="B35" s="8" t="s">
        <v>719</v>
      </c>
      <c r="C35" s="14">
        <f>C30-C34</f>
        <v>457793.53148999996</v>
      </c>
      <c r="D35" s="14">
        <f>D30-D34</f>
        <v>456595.98396500002</v>
      </c>
      <c r="E35" s="14">
        <f>E30-E34</f>
        <v>464552.99802499998</v>
      </c>
      <c r="G35" s="14">
        <f t="shared" ref="G35:R35" si="11">G30-G34</f>
        <v>457793.53148999996</v>
      </c>
      <c r="H35" s="14">
        <f t="shared" si="11"/>
        <v>457793.53148999996</v>
      </c>
      <c r="I35" s="14">
        <f t="shared" si="11"/>
        <v>457793.53148999996</v>
      </c>
      <c r="J35" s="14">
        <f t="shared" si="11"/>
        <v>454130.49802499998</v>
      </c>
      <c r="K35" s="14">
        <f t="shared" si="11"/>
        <v>468254.53148999996</v>
      </c>
      <c r="L35" s="14">
        <f t="shared" si="11"/>
        <v>457793.53148999996</v>
      </c>
      <c r="M35" s="14">
        <f t="shared" si="11"/>
        <v>457793.53148999996</v>
      </c>
      <c r="N35" s="14">
        <f t="shared" si="11"/>
        <v>457793.53148999996</v>
      </c>
      <c r="O35" s="14">
        <f t="shared" si="11"/>
        <v>457793.53148999996</v>
      </c>
      <c r="P35" s="14">
        <f t="shared" si="11"/>
        <v>460409.98396500002</v>
      </c>
      <c r="Q35" s="14">
        <f t="shared" si="11"/>
        <v>453989.53148999996</v>
      </c>
      <c r="R35" s="14">
        <f t="shared" si="11"/>
        <v>457793.53148999996</v>
      </c>
    </row>
    <row r="36" spans="1:18" x14ac:dyDescent="0.2">
      <c r="A36" s="8" t="s">
        <v>230</v>
      </c>
      <c r="B36" s="8" t="s">
        <v>231</v>
      </c>
      <c r="C36" s="14">
        <f>C11*Assumptions!$D$20</f>
        <v>14299.279000000002</v>
      </c>
      <c r="D36" s="14">
        <f>D11*Assumptions!$E$20</f>
        <v>14737.78635</v>
      </c>
      <c r="E36" s="14">
        <f>E11*Assumptions!$F$20</f>
        <v>13636.025879999999</v>
      </c>
      <c r="G36" s="14">
        <f>G11*Assumptions!$D$20</f>
        <v>13636.025879999999</v>
      </c>
      <c r="H36" s="14">
        <f>H11*Assumptions!$D$20</f>
        <v>14299.279000000002</v>
      </c>
      <c r="I36" s="14">
        <f>I11*Assumptions!$D$20</f>
        <v>14299.279000000002</v>
      </c>
      <c r="J36" s="14">
        <f>J11*Assumptions!$D$20</f>
        <v>14299.279000000002</v>
      </c>
      <c r="K36" s="14">
        <f>K11*Assumptions!$D$20</f>
        <v>14299.279000000002</v>
      </c>
      <c r="L36" s="14">
        <f>L11*Assumptions!$D$20</f>
        <v>14299.279000000002</v>
      </c>
      <c r="M36" s="14">
        <f>M11*Assumptions!$D$20</f>
        <v>14737.78635</v>
      </c>
      <c r="N36" s="14">
        <f>N11*Assumptions!$D$20</f>
        <v>14299.279000000002</v>
      </c>
      <c r="O36" s="14">
        <f>O11*Assumptions!$D$20</f>
        <v>14299.279000000002</v>
      </c>
      <c r="P36" s="14">
        <f>P11*Assumptions!$D$20</f>
        <v>14299.279000000002</v>
      </c>
      <c r="Q36" s="14">
        <f>Q11*Assumptions!$D$20</f>
        <v>14299.279000000002</v>
      </c>
      <c r="R36" s="14">
        <f>R11*Assumptions!$D$20</f>
        <v>14299.279000000002</v>
      </c>
    </row>
    <row r="37" spans="1:18" x14ac:dyDescent="0.2">
      <c r="A37" s="8" t="s">
        <v>780</v>
      </c>
      <c r="B37" s="8" t="s">
        <v>836</v>
      </c>
      <c r="C37" s="14">
        <f>C11*Assumptions!$D$21</f>
        <v>-3864.6700000000005</v>
      </c>
      <c r="D37" s="14">
        <f>D11*Assumptions!$E$21</f>
        <v>-1991.5927500000003</v>
      </c>
      <c r="E37" s="14">
        <f>E11*Assumptions!$F$21</f>
        <v>-9213.5310000000009</v>
      </c>
      <c r="G37" s="14">
        <f>G11*Assumptions!$D$21</f>
        <v>-3685.4124000000002</v>
      </c>
      <c r="H37" s="14">
        <f>H11*Assumptions!$D$21</f>
        <v>-3864.6700000000005</v>
      </c>
      <c r="I37" s="14">
        <f>I11*Assumptions!$D$21</f>
        <v>-3864.6700000000005</v>
      </c>
      <c r="J37" s="14">
        <f>J11*Assumptions!$D$21</f>
        <v>-3864.6700000000005</v>
      </c>
      <c r="K37" s="14">
        <f>K11*Assumptions!$D$21</f>
        <v>-3864.6700000000005</v>
      </c>
      <c r="L37" s="14">
        <f>L11*Assumptions!$F$21</f>
        <v>-9661.6750000000011</v>
      </c>
      <c r="M37" s="14">
        <f>M11*Assumptions!$D$21</f>
        <v>-3983.1855000000005</v>
      </c>
      <c r="N37" s="14">
        <f>N11*Assumptions!$D$21</f>
        <v>-3864.6700000000005</v>
      </c>
      <c r="O37" s="14">
        <f>O11*Assumptions!$D$21</f>
        <v>-3864.6700000000005</v>
      </c>
      <c r="P37" s="14">
        <f>P11*Assumptions!$D$21</f>
        <v>-3864.6700000000005</v>
      </c>
      <c r="Q37" s="14">
        <f>Q11*Assumptions!$D$21</f>
        <v>-3864.6700000000005</v>
      </c>
      <c r="R37" s="14">
        <f>R11*Assumptions!$E$21</f>
        <v>-1932.3350000000003</v>
      </c>
    </row>
    <row r="38" spans="1:18" x14ac:dyDescent="0.2">
      <c r="A38" s="4" t="s">
        <v>232</v>
      </c>
      <c r="B38" s="4" t="s">
        <v>837</v>
      </c>
      <c r="C38" s="33">
        <f>C24+C14+C36+C37</f>
        <v>207023.16949477603</v>
      </c>
      <c r="D38" s="33">
        <f>D24+D14+D36+D37</f>
        <v>218473.6355449032</v>
      </c>
      <c r="E38" s="33">
        <f>E24+E14+E36+E37</f>
        <v>185898.3196942549</v>
      </c>
      <c r="G38" s="33">
        <f t="shared" ref="G38:R38" si="12">G24+G14+G36+G37</f>
        <v>195130.30952125485</v>
      </c>
      <c r="H38" s="33">
        <f t="shared" si="12"/>
        <v>203931.43349477605</v>
      </c>
      <c r="I38" s="33">
        <f t="shared" si="12"/>
        <v>205899.52149477604</v>
      </c>
      <c r="J38" s="33">
        <f t="shared" si="12"/>
        <v>207755.77618777603</v>
      </c>
      <c r="K38" s="33">
        <f t="shared" si="12"/>
        <v>207130.96949477604</v>
      </c>
      <c r="L38" s="33">
        <f t="shared" si="12"/>
        <v>201226.16449477605</v>
      </c>
      <c r="M38" s="33">
        <f t="shared" si="12"/>
        <v>214886.08992990319</v>
      </c>
      <c r="N38" s="33">
        <f t="shared" si="12"/>
        <v>208259.86389477606</v>
      </c>
      <c r="O38" s="33">
        <f t="shared" si="12"/>
        <v>207584.99349477605</v>
      </c>
      <c r="P38" s="33">
        <f t="shared" si="12"/>
        <v>206499.87899977603</v>
      </c>
      <c r="Q38" s="33">
        <f t="shared" si="12"/>
        <v>206983.96949477604</v>
      </c>
      <c r="R38" s="33">
        <f t="shared" si="12"/>
        <v>208955.50449477605</v>
      </c>
    </row>
    <row r="39" spans="1:18" x14ac:dyDescent="0.2">
      <c r="A39" s="4" t="s">
        <v>787</v>
      </c>
      <c r="B39" s="4" t="s">
        <v>838</v>
      </c>
      <c r="C39" s="33">
        <f>C38-C25</f>
        <v>23023.169494776026</v>
      </c>
      <c r="D39" s="33">
        <f>D38-D25</f>
        <v>38473.635544903198</v>
      </c>
      <c r="E39" s="33">
        <f>E38-E25</f>
        <v>-9101.6803057451034</v>
      </c>
      <c r="G39" s="33">
        <f t="shared" ref="G39:R39" si="13">G38-G25</f>
        <v>11130.309521254851</v>
      </c>
      <c r="H39" s="33">
        <f t="shared" si="13"/>
        <v>19931.433494776051</v>
      </c>
      <c r="I39" s="33">
        <f t="shared" si="13"/>
        <v>21899.52149477604</v>
      </c>
      <c r="J39" s="33">
        <f t="shared" si="13"/>
        <v>23755.776187776035</v>
      </c>
      <c r="K39" s="33">
        <f t="shared" si="13"/>
        <v>12130.969494776044</v>
      </c>
      <c r="L39" s="33">
        <f t="shared" si="13"/>
        <v>17226.164494776051</v>
      </c>
      <c r="M39" s="33">
        <f t="shared" si="13"/>
        <v>30886.089929903188</v>
      </c>
      <c r="N39" s="33">
        <f t="shared" si="13"/>
        <v>24259.863894776063</v>
      </c>
      <c r="O39" s="33">
        <f t="shared" si="13"/>
        <v>23584.993494776048</v>
      </c>
      <c r="P39" s="33">
        <f t="shared" si="13"/>
        <v>22499.878999776032</v>
      </c>
      <c r="Q39" s="33">
        <f t="shared" si="13"/>
        <v>26983.969494776044</v>
      </c>
      <c r="R39" s="33">
        <f t="shared" si="13"/>
        <v>24955.504494776047</v>
      </c>
    </row>
    <row r="40" spans="1:18" x14ac:dyDescent="0.2">
      <c r="A40" s="8" t="s">
        <v>805</v>
      </c>
      <c r="B40" s="8" t="s">
        <v>806</v>
      </c>
      <c r="C40" s="15">
        <f>C39/C11</f>
        <v>5.957344222087791E-2</v>
      </c>
      <c r="D40" s="15">
        <f>D39/D11</f>
        <v>9.6590117494912531E-2</v>
      </c>
      <c r="E40" s="15">
        <f>E39/E11</f>
        <v>-2.469650426569657E-2</v>
      </c>
      <c r="G40" s="15">
        <f t="shared" ref="G40:R40" si="14">G39/G11</f>
        <v>3.0200987876566679E-2</v>
      </c>
      <c r="H40" s="15">
        <f t="shared" si="14"/>
        <v>5.1573442220877973E-2</v>
      </c>
      <c r="I40" s="15">
        <f t="shared" si="14"/>
        <v>5.6665954647553446E-2</v>
      </c>
      <c r="J40" s="15">
        <f t="shared" si="14"/>
        <v>6.1469093577914885E-2</v>
      </c>
      <c r="K40" s="15">
        <f t="shared" si="14"/>
        <v>3.1389405808972155E-2</v>
      </c>
      <c r="L40" s="15">
        <f t="shared" si="14"/>
        <v>4.4573442220877973E-2</v>
      </c>
      <c r="M40" s="15">
        <f t="shared" si="14"/>
        <v>7.7541178862754911E-2</v>
      </c>
      <c r="N40" s="15">
        <f t="shared" si="14"/>
        <v>6.2773442220878009E-2</v>
      </c>
      <c r="O40" s="15">
        <f t="shared" si="14"/>
        <v>6.1027186007540216E-2</v>
      </c>
      <c r="P40" s="15">
        <f t="shared" si="14"/>
        <v>5.8219405537280104E-2</v>
      </c>
      <c r="Q40" s="15">
        <f t="shared" si="14"/>
        <v>6.9822182734298244E-2</v>
      </c>
      <c r="R40" s="15">
        <f t="shared" si="14"/>
        <v>6.4573442220877963E-2</v>
      </c>
    </row>
    <row r="41" spans="1:18" x14ac:dyDescent="0.2">
      <c r="A41" s="8" t="s">
        <v>790</v>
      </c>
      <c r="B41" s="8" t="s">
        <v>839</v>
      </c>
      <c r="C41" s="14">
        <f>Assumptions!$D$22</f>
        <v>4500</v>
      </c>
      <c r="D41" s="14">
        <f>Assumptions!$E$22</f>
        <v>4500</v>
      </c>
      <c r="E41" s="14">
        <f>Assumptions!$F$22</f>
        <v>4500</v>
      </c>
      <c r="G41" s="14">
        <f>Assumptions!$D$22</f>
        <v>4500</v>
      </c>
      <c r="H41" s="14">
        <f>Assumptions!$D$22</f>
        <v>4500</v>
      </c>
      <c r="I41" s="14">
        <f>Assumptions!$D$22</f>
        <v>4500</v>
      </c>
      <c r="J41" s="14">
        <f>Assumptions!$D$22</f>
        <v>4500</v>
      </c>
      <c r="K41" s="14">
        <f>Assumptions!$D$22</f>
        <v>4500</v>
      </c>
      <c r="L41" s="14">
        <f>Assumptions!$D$22</f>
        <v>4500</v>
      </c>
      <c r="M41" s="14">
        <f>Assumptions!$D$22</f>
        <v>4500</v>
      </c>
      <c r="N41" s="14">
        <f>Assumptions!$D$22</f>
        <v>4500</v>
      </c>
      <c r="O41" s="14">
        <f>Assumptions!$D$22</f>
        <v>4500</v>
      </c>
      <c r="P41" s="14">
        <f>Assumptions!$D$22</f>
        <v>4500</v>
      </c>
      <c r="Q41" s="14">
        <f>Assumptions!$D$22</f>
        <v>4500</v>
      </c>
      <c r="R41" s="14">
        <f>Assumptions!$D$22</f>
        <v>4500</v>
      </c>
    </row>
    <row r="42" spans="1:18" x14ac:dyDescent="0.2">
      <c r="A42" s="8" t="s">
        <v>793</v>
      </c>
      <c r="B42" s="8" t="s">
        <v>840</v>
      </c>
      <c r="C42" s="14">
        <f>C39-C41</f>
        <v>18523.169494776026</v>
      </c>
      <c r="D42" s="14">
        <f>D39-D41</f>
        <v>33973.635544903198</v>
      </c>
      <c r="E42" s="14">
        <f>E39-E41</f>
        <v>-13601.680305745103</v>
      </c>
      <c r="G42" s="14">
        <f t="shared" ref="G42:R42" si="15">G39-G41</f>
        <v>6630.3095212548506</v>
      </c>
      <c r="H42" s="14">
        <f t="shared" si="15"/>
        <v>15431.433494776051</v>
      </c>
      <c r="I42" s="14">
        <f t="shared" si="15"/>
        <v>17399.52149477604</v>
      </c>
      <c r="J42" s="14">
        <f t="shared" si="15"/>
        <v>19255.776187776035</v>
      </c>
      <c r="K42" s="14">
        <f t="shared" si="15"/>
        <v>7630.9694947760436</v>
      </c>
      <c r="L42" s="14">
        <f t="shared" si="15"/>
        <v>12726.164494776051</v>
      </c>
      <c r="M42" s="14">
        <f t="shared" si="15"/>
        <v>26386.089929903188</v>
      </c>
      <c r="N42" s="14">
        <f t="shared" si="15"/>
        <v>19759.863894776063</v>
      </c>
      <c r="O42" s="14">
        <f t="shared" si="15"/>
        <v>19084.993494776048</v>
      </c>
      <c r="P42" s="14">
        <f t="shared" si="15"/>
        <v>17999.878999776032</v>
      </c>
      <c r="Q42" s="14">
        <f t="shared" si="15"/>
        <v>22483.969494776044</v>
      </c>
      <c r="R42" s="14">
        <f t="shared" si="15"/>
        <v>20455.504494776047</v>
      </c>
    </row>
    <row r="43" spans="1:18" x14ac:dyDescent="0.2">
      <c r="A43" s="8" t="s">
        <v>795</v>
      </c>
      <c r="B43" s="8" t="s">
        <v>559</v>
      </c>
      <c r="C43" s="14">
        <f>Assumptions!$D$23</f>
        <v>28500</v>
      </c>
      <c r="D43" s="14">
        <f>Assumptions!$E$23</f>
        <v>28500</v>
      </c>
      <c r="E43" s="14">
        <f>Assumptions!$F$23</f>
        <v>28500</v>
      </c>
      <c r="G43" s="14">
        <f>Assumptions!$D$23</f>
        <v>28500</v>
      </c>
      <c r="H43" s="14">
        <f>Assumptions!$D$23</f>
        <v>28500</v>
      </c>
      <c r="I43" s="14">
        <f>Assumptions!$D$23</f>
        <v>28500</v>
      </c>
      <c r="J43" s="14">
        <f>Assumptions!$D$23</f>
        <v>28500</v>
      </c>
      <c r="K43" s="14">
        <f>Assumptions!$D$23</f>
        <v>28500</v>
      </c>
      <c r="L43" s="14">
        <f>Assumptions!$D$23</f>
        <v>28500</v>
      </c>
      <c r="M43" s="14">
        <f>Assumptions!$D$23</f>
        <v>28500</v>
      </c>
      <c r="N43" s="14">
        <f>Assumptions!$D$23</f>
        <v>28500</v>
      </c>
      <c r="O43" s="14">
        <f>Assumptions!$D$23</f>
        <v>28500</v>
      </c>
      <c r="P43" s="14">
        <f>Assumptions!$D$23</f>
        <v>28500</v>
      </c>
      <c r="Q43" s="14">
        <f>Assumptions!$D$23</f>
        <v>28500</v>
      </c>
      <c r="R43" s="14">
        <f>Assumptions!$D$23</f>
        <v>28500</v>
      </c>
    </row>
    <row r="44" spans="1:18" x14ac:dyDescent="0.2">
      <c r="A44" s="8" t="s">
        <v>798</v>
      </c>
      <c r="B44" s="8" t="s">
        <v>562</v>
      </c>
      <c r="C44" s="14">
        <f>Assumptions!$D$24</f>
        <v>20000</v>
      </c>
      <c r="D44" s="14">
        <f>Assumptions!$E$24</f>
        <v>20000</v>
      </c>
      <c r="E44" s="14">
        <f>Assumptions!$F$24</f>
        <v>20000</v>
      </c>
      <c r="G44" s="14">
        <f>Assumptions!$D$24</f>
        <v>20000</v>
      </c>
      <c r="H44" s="14">
        <f>Assumptions!$D$24</f>
        <v>20000</v>
      </c>
      <c r="I44" s="14">
        <f>Assumptions!$D$24</f>
        <v>20000</v>
      </c>
      <c r="J44" s="14">
        <f>Assumptions!$D$24</f>
        <v>20000</v>
      </c>
      <c r="K44" s="14">
        <f>Assumptions!$D$24</f>
        <v>20000</v>
      </c>
      <c r="L44" s="14">
        <f>Assumptions!$D$24</f>
        <v>20000</v>
      </c>
      <c r="M44" s="14">
        <f>Assumptions!$D$24</f>
        <v>20000</v>
      </c>
      <c r="N44" s="14">
        <f>Assumptions!$D$24</f>
        <v>20000</v>
      </c>
      <c r="O44" s="14">
        <f>Assumptions!$D$24</f>
        <v>20000</v>
      </c>
      <c r="P44" s="14">
        <f>Assumptions!$D$24</f>
        <v>20000</v>
      </c>
      <c r="Q44" s="14">
        <f>Assumptions!$D$24</f>
        <v>20000</v>
      </c>
      <c r="R44" s="14">
        <f>Assumptions!$D$24</f>
        <v>20000</v>
      </c>
    </row>
    <row r="45" spans="1:18" x14ac:dyDescent="0.2">
      <c r="A45" s="4" t="s">
        <v>801</v>
      </c>
      <c r="B45" s="4" t="s">
        <v>841</v>
      </c>
      <c r="C45" s="33">
        <f>C42-C43-C44</f>
        <v>-29976.830505223974</v>
      </c>
      <c r="D45" s="33">
        <f>D42-D43-D44</f>
        <v>-14526.364455096802</v>
      </c>
      <c r="E45" s="33">
        <f>E42-E43-E44</f>
        <v>-62101.680305745103</v>
      </c>
      <c r="G45" s="33">
        <f t="shared" ref="G45:R45" si="16">G42-G43-G44</f>
        <v>-41869.690478745149</v>
      </c>
      <c r="H45" s="33">
        <f t="shared" si="16"/>
        <v>-33068.566505223949</v>
      </c>
      <c r="I45" s="33">
        <f t="shared" si="16"/>
        <v>-31100.47850522396</v>
      </c>
      <c r="J45" s="33">
        <f t="shared" si="16"/>
        <v>-29244.223812223965</v>
      </c>
      <c r="K45" s="33">
        <f t="shared" si="16"/>
        <v>-40869.030505223956</v>
      </c>
      <c r="L45" s="33">
        <f t="shared" si="16"/>
        <v>-35773.835505223949</v>
      </c>
      <c r="M45" s="33">
        <f t="shared" si="16"/>
        <v>-22113.910070096812</v>
      </c>
      <c r="N45" s="33">
        <f t="shared" si="16"/>
        <v>-28740.136105223937</v>
      </c>
      <c r="O45" s="33">
        <f t="shared" si="16"/>
        <v>-29415.006505223952</v>
      </c>
      <c r="P45" s="33">
        <f t="shared" si="16"/>
        <v>-30500.121000223968</v>
      </c>
      <c r="Q45" s="33">
        <f t="shared" si="16"/>
        <v>-26016.030505223956</v>
      </c>
      <c r="R45" s="33">
        <f t="shared" si="16"/>
        <v>-28044.495505223953</v>
      </c>
    </row>
    <row r="48" spans="1:18" x14ac:dyDescent="0.2">
      <c r="A48" s="4" t="s">
        <v>842</v>
      </c>
    </row>
    <row r="49" spans="1:8" ht="30" x14ac:dyDescent="0.2">
      <c r="A49" s="7"/>
      <c r="B49" s="7" t="s">
        <v>843</v>
      </c>
      <c r="C49" s="7" t="s">
        <v>844</v>
      </c>
      <c r="D49" s="7" t="s">
        <v>845</v>
      </c>
      <c r="E49" s="7" t="s">
        <v>846</v>
      </c>
      <c r="F49" s="7" t="s">
        <v>847</v>
      </c>
      <c r="G49" s="7" t="s">
        <v>848</v>
      </c>
      <c r="H49" s="7" t="s">
        <v>849</v>
      </c>
    </row>
    <row r="50" spans="1:8" x14ac:dyDescent="0.2">
      <c r="B50" s="8" t="s">
        <v>850</v>
      </c>
      <c r="C50" s="14">
        <f>G19-$C19</f>
        <v>-14261.080566901481</v>
      </c>
      <c r="D50" s="14">
        <f>M19-$C19</f>
        <v>9428.6607314089197</v>
      </c>
      <c r="E50" s="14">
        <f>G39-$C39</f>
        <v>-11892.859973521176</v>
      </c>
      <c r="F50" s="14">
        <f>M39-$C39</f>
        <v>7862.9204351271619</v>
      </c>
      <c r="G50" s="21">
        <f t="shared" ref="G50:G55" si="17">ABS(F50-E50)</f>
        <v>19755.780408648337</v>
      </c>
      <c r="H50" s="29">
        <f t="shared" ref="H50:H55" si="18">RANK(G50,$G$50:$G$55)</f>
        <v>1</v>
      </c>
    </row>
    <row r="51" spans="1:8" x14ac:dyDescent="0.2">
      <c r="B51" s="8" t="s">
        <v>851</v>
      </c>
      <c r="C51" s="14">
        <f>H19-$C19</f>
        <v>-3864.6699999999837</v>
      </c>
      <c r="D51" s="14">
        <f>N19-$C19</f>
        <v>1545.8680000000168</v>
      </c>
      <c r="E51" s="14">
        <f>H39-$C39</f>
        <v>-3091.7359999999753</v>
      </c>
      <c r="F51" s="14">
        <f>N39-$C39</f>
        <v>1236.6944000000367</v>
      </c>
      <c r="G51" s="21">
        <f t="shared" si="17"/>
        <v>4328.430400000012</v>
      </c>
      <c r="H51" s="29">
        <f t="shared" si="18"/>
        <v>4</v>
      </c>
    </row>
    <row r="52" spans="1:8" x14ac:dyDescent="0.2">
      <c r="B52" s="8" t="s">
        <v>852</v>
      </c>
      <c r="C52" s="14">
        <f>I19-$C19</f>
        <v>-1404.5599999999977</v>
      </c>
      <c r="D52" s="14">
        <f>O19-$C19</f>
        <v>702.28000000002794</v>
      </c>
      <c r="E52" s="14">
        <f>I39-$C39</f>
        <v>-1123.6479999999865</v>
      </c>
      <c r="F52" s="14">
        <f>O39-$C39</f>
        <v>561.82400000002235</v>
      </c>
      <c r="G52" s="21">
        <f t="shared" si="17"/>
        <v>1685.4720000000088</v>
      </c>
      <c r="H52" s="29">
        <f t="shared" si="18"/>
        <v>5</v>
      </c>
    </row>
    <row r="53" spans="1:8" x14ac:dyDescent="0.2">
      <c r="B53" s="8" t="s">
        <v>853</v>
      </c>
      <c r="C53" s="14">
        <f>J19-$C19</f>
        <v>-3663.0334649999859</v>
      </c>
      <c r="D53" s="14">
        <f>P19-$C19</f>
        <v>2616.4524749999982</v>
      </c>
      <c r="E53" s="14">
        <f>J39-$C39</f>
        <v>732.60669300000882</v>
      </c>
      <c r="F53" s="14">
        <f>P39-$C39</f>
        <v>-523.29049499999383</v>
      </c>
      <c r="G53" s="21">
        <f t="shared" si="17"/>
        <v>1255.8971880000026</v>
      </c>
      <c r="H53" s="29">
        <f t="shared" si="18"/>
        <v>6</v>
      </c>
    </row>
    <row r="54" spans="1:8" x14ac:dyDescent="0.2">
      <c r="B54" s="8" t="s">
        <v>854</v>
      </c>
      <c r="C54" s="14">
        <f>K19-$C19</f>
        <v>-539</v>
      </c>
      <c r="D54" s="14">
        <f>Q19-$C19</f>
        <v>196</v>
      </c>
      <c r="E54" s="14">
        <f>K39-$C39</f>
        <v>-10892.199999999983</v>
      </c>
      <c r="F54" s="14">
        <f>Q39-$C39</f>
        <v>3960.8000000000175</v>
      </c>
      <c r="G54" s="21">
        <f t="shared" si="17"/>
        <v>14853</v>
      </c>
      <c r="H54" s="29">
        <f t="shared" si="18"/>
        <v>2</v>
      </c>
    </row>
    <row r="55" spans="1:8" x14ac:dyDescent="0.2">
      <c r="B55" s="8" t="s">
        <v>855</v>
      </c>
      <c r="C55" s="14">
        <f>L19-$C19</f>
        <v>0</v>
      </c>
      <c r="D55" s="14">
        <f>R19-$C19</f>
        <v>0</v>
      </c>
      <c r="E55" s="14">
        <f>L39-$C39</f>
        <v>-5797.0049999999756</v>
      </c>
      <c r="F55" s="14">
        <f>R39-$C39</f>
        <v>1932.335000000021</v>
      </c>
      <c r="G55" s="21">
        <f t="shared" si="17"/>
        <v>7729.3399999999965</v>
      </c>
      <c r="H55" s="29">
        <f t="shared" si="18"/>
        <v>3</v>
      </c>
    </row>
    <row r="56" spans="1:8" x14ac:dyDescent="0.2">
      <c r="B56" s="2" t="s">
        <v>856</v>
      </c>
    </row>
    <row r="59" spans="1:8" x14ac:dyDescent="0.2">
      <c r="A59" s="4" t="str">
        <f>"Sensitivity grid 1: FY2027E free cash flow (USD m), scenario "&amp;Assumptions!C4&amp;" - rows: change in revenue growth; columns: change in cash capex"</f>
        <v>Sensitivity grid 1: FY2027E free cash flow (USD m), scenario Base - rows: change in revenue growth; columns: change in cash capex</v>
      </c>
    </row>
    <row r="60" spans="1:8" x14ac:dyDescent="0.2">
      <c r="B60" s="34" t="s">
        <v>857</v>
      </c>
      <c r="C60" s="35">
        <f>Assumptions!$D$41</f>
        <v>-20000</v>
      </c>
      <c r="D60" s="35">
        <f>Assumptions!$E$41</f>
        <v>-10000</v>
      </c>
      <c r="E60" s="35">
        <f>Assumptions!$F$41</f>
        <v>0</v>
      </c>
      <c r="F60" s="35">
        <f>Assumptions!$G$41</f>
        <v>10000</v>
      </c>
      <c r="G60" s="35">
        <f>Assumptions!$H$41</f>
        <v>20000</v>
      </c>
      <c r="H60" s="35">
        <f>Assumptions!$I$41</f>
        <v>30000</v>
      </c>
    </row>
    <row r="61" spans="1:8" x14ac:dyDescent="0.2">
      <c r="B61" s="36">
        <f>Assumptions!$D$40</f>
        <v>-0.06</v>
      </c>
      <c r="C61" s="14">
        <f>Cash_Flow!$F$14+$B61*Revenue_Forecast!$E$11*((1-Operating_Forecast!$F$9/Revenue_Forecast!$F$11)*(1-Assumptions!$G$19)+Assumptions!$G$20+Assumptions!$G$21)-C$60*(1-0.5*Assumptions!$G$16*Assumptions!$G$19)</f>
        <v>29617.638314776028</v>
      </c>
      <c r="D61" s="14">
        <f>Cash_Flow!$F$14+$B61*Revenue_Forecast!$E$11*((1-Operating_Forecast!$F$9/Revenue_Forecast!$F$11)*(1-Assumptions!$G$19)+Assumptions!$G$20+Assumptions!$G$21)-D$60*(1-0.5*Assumptions!$G$16*Assumptions!$G$19)</f>
        <v>19715.638314776028</v>
      </c>
      <c r="E61" s="14">
        <f>Cash_Flow!$F$14+$B61*Revenue_Forecast!$E$11*((1-Operating_Forecast!$F$9/Revenue_Forecast!$F$11)*(1-Assumptions!$G$19)+Assumptions!$G$20+Assumptions!$G$21)-E$60*(1-0.5*Assumptions!$G$16*Assumptions!$G$19)</f>
        <v>9813.6383147760262</v>
      </c>
      <c r="F61" s="14">
        <f>Cash_Flow!$F$14+$B61*Revenue_Forecast!$E$11*((1-Operating_Forecast!$F$9/Revenue_Forecast!$F$11)*(1-Assumptions!$G$19)+Assumptions!$G$20+Assumptions!$G$21)-F$60*(1-0.5*Assumptions!$G$16*Assumptions!$G$19)</f>
        <v>-88.361685223973836</v>
      </c>
      <c r="G61" s="14">
        <f>Cash_Flow!$F$14+$B61*Revenue_Forecast!$E$11*((1-Operating_Forecast!$F$9/Revenue_Forecast!$F$11)*(1-Assumptions!$G$19)+Assumptions!$G$20+Assumptions!$G$21)-G$60*(1-0.5*Assumptions!$G$16*Assumptions!$G$19)</f>
        <v>-9990.3616852239738</v>
      </c>
      <c r="H61" s="14">
        <f>Cash_Flow!$F$14+$B61*Revenue_Forecast!$E$11*((1-Operating_Forecast!$F$9/Revenue_Forecast!$F$11)*(1-Assumptions!$G$19)+Assumptions!$G$20+Assumptions!$G$21)-H$60*(1-0.5*Assumptions!$G$16*Assumptions!$G$19)</f>
        <v>-19892.361685223972</v>
      </c>
    </row>
    <row r="62" spans="1:8" x14ac:dyDescent="0.2">
      <c r="B62" s="36">
        <f>Assumptions!$E$40</f>
        <v>-0.04</v>
      </c>
      <c r="C62" s="14">
        <f>Cash_Flow!$F$14+$B62*Revenue_Forecast!$E$11*((1-Operating_Forecast!$F$9/Revenue_Forecast!$F$11)*(1-Assumptions!$G$19)+Assumptions!$G$20+Assumptions!$G$21)-C$60*(1-0.5*Assumptions!$G$16*Assumptions!$G$19)</f>
        <v>34020.815374776023</v>
      </c>
      <c r="D62" s="14">
        <f>Cash_Flow!$F$14+$B62*Revenue_Forecast!$E$11*((1-Operating_Forecast!$F$9/Revenue_Forecast!$F$11)*(1-Assumptions!$G$19)+Assumptions!$G$20+Assumptions!$G$21)-D$60*(1-0.5*Assumptions!$G$16*Assumptions!$G$19)</f>
        <v>24118.815374776026</v>
      </c>
      <c r="E62" s="14">
        <f>Cash_Flow!$F$14+$B62*Revenue_Forecast!$E$11*((1-Operating_Forecast!$F$9/Revenue_Forecast!$F$11)*(1-Assumptions!$G$19)+Assumptions!$G$20+Assumptions!$G$21)-E$60*(1-0.5*Assumptions!$G$16*Assumptions!$G$19)</f>
        <v>14216.815374776026</v>
      </c>
      <c r="F62" s="14">
        <f>Cash_Flow!$F$14+$B62*Revenue_Forecast!$E$11*((1-Operating_Forecast!$F$9/Revenue_Forecast!$F$11)*(1-Assumptions!$G$19)+Assumptions!$G$20+Assumptions!$G$21)-F$60*(1-0.5*Assumptions!$G$16*Assumptions!$G$19)</f>
        <v>4314.8153747760261</v>
      </c>
      <c r="G62" s="14">
        <f>Cash_Flow!$F$14+$B62*Revenue_Forecast!$E$11*((1-Operating_Forecast!$F$9/Revenue_Forecast!$F$11)*(1-Assumptions!$G$19)+Assumptions!$G$20+Assumptions!$G$21)-G$60*(1-0.5*Assumptions!$G$16*Assumptions!$G$19)</f>
        <v>-5587.1846252239739</v>
      </c>
      <c r="H62" s="14">
        <f>Cash_Flow!$F$14+$B62*Revenue_Forecast!$E$11*((1-Operating_Forecast!$F$9/Revenue_Forecast!$F$11)*(1-Assumptions!$G$19)+Assumptions!$G$20+Assumptions!$G$21)-H$60*(1-0.5*Assumptions!$G$16*Assumptions!$G$19)</f>
        <v>-15489.184625223974</v>
      </c>
    </row>
    <row r="63" spans="1:8" x14ac:dyDescent="0.2">
      <c r="B63" s="36">
        <f>Assumptions!$F$40</f>
        <v>-0.02</v>
      </c>
      <c r="C63" s="14">
        <f>Cash_Flow!$F$14+$B63*Revenue_Forecast!$E$11*((1-Operating_Forecast!$F$9/Revenue_Forecast!$F$11)*(1-Assumptions!$G$19)+Assumptions!$G$20+Assumptions!$G$21)-C$60*(1-0.5*Assumptions!$G$16*Assumptions!$G$19)</f>
        <v>38423.992434776024</v>
      </c>
      <c r="D63" s="14">
        <f>Cash_Flow!$F$14+$B63*Revenue_Forecast!$E$11*((1-Operating_Forecast!$F$9/Revenue_Forecast!$F$11)*(1-Assumptions!$G$19)+Assumptions!$G$20+Assumptions!$G$21)-D$60*(1-0.5*Assumptions!$G$16*Assumptions!$G$19)</f>
        <v>28521.992434776024</v>
      </c>
      <c r="E63" s="14">
        <f>Cash_Flow!$F$14+$B63*Revenue_Forecast!$E$11*((1-Operating_Forecast!$F$9/Revenue_Forecast!$F$11)*(1-Assumptions!$G$19)+Assumptions!$G$20+Assumptions!$G$21)-E$60*(1-0.5*Assumptions!$G$16*Assumptions!$G$19)</f>
        <v>18619.992434776024</v>
      </c>
      <c r="F63" s="14">
        <f>Cash_Flow!$F$14+$B63*Revenue_Forecast!$E$11*((1-Operating_Forecast!$F$9/Revenue_Forecast!$F$11)*(1-Assumptions!$G$19)+Assumptions!$G$20+Assumptions!$G$21)-F$60*(1-0.5*Assumptions!$G$16*Assumptions!$G$19)</f>
        <v>8717.9924347760243</v>
      </c>
      <c r="G63" s="14">
        <f>Cash_Flow!$F$14+$B63*Revenue_Forecast!$E$11*((1-Operating_Forecast!$F$9/Revenue_Forecast!$F$11)*(1-Assumptions!$G$19)+Assumptions!$G$20+Assumptions!$G$21)-G$60*(1-0.5*Assumptions!$G$16*Assumptions!$G$19)</f>
        <v>-1184.0075652239757</v>
      </c>
      <c r="H63" s="14">
        <f>Cash_Flow!$F$14+$B63*Revenue_Forecast!$E$11*((1-Operating_Forecast!$F$9/Revenue_Forecast!$F$11)*(1-Assumptions!$G$19)+Assumptions!$G$20+Assumptions!$G$21)-H$60*(1-0.5*Assumptions!$G$16*Assumptions!$G$19)</f>
        <v>-11086.007565223976</v>
      </c>
    </row>
    <row r="64" spans="1:8" x14ac:dyDescent="0.2">
      <c r="B64" s="36">
        <f>Assumptions!$G$40</f>
        <v>0</v>
      </c>
      <c r="C64" s="14">
        <f>Cash_Flow!$F$14+$B64*Revenue_Forecast!$E$11*((1-Operating_Forecast!$F$9/Revenue_Forecast!$F$11)*(1-Assumptions!$G$19)+Assumptions!$G$20+Assumptions!$G$21)-C$60*(1-0.5*Assumptions!$G$16*Assumptions!$G$19)</f>
        <v>42827.169494776026</v>
      </c>
      <c r="D64" s="14">
        <f>Cash_Flow!$F$14+$B64*Revenue_Forecast!$E$11*((1-Operating_Forecast!$F$9/Revenue_Forecast!$F$11)*(1-Assumptions!$G$19)+Assumptions!$G$20+Assumptions!$G$21)-D$60*(1-0.5*Assumptions!$G$16*Assumptions!$G$19)</f>
        <v>32925.169494776026</v>
      </c>
      <c r="E64" s="14">
        <f>Cash_Flow!$F$14+$B64*Revenue_Forecast!$E$11*((1-Operating_Forecast!$F$9/Revenue_Forecast!$F$11)*(1-Assumptions!$G$19)+Assumptions!$G$20+Assumptions!$G$21)-E$60*(1-0.5*Assumptions!$G$16*Assumptions!$G$19)</f>
        <v>23023.169494776026</v>
      </c>
      <c r="F64" s="14">
        <f>Cash_Flow!$F$14+$B64*Revenue_Forecast!$E$11*((1-Operating_Forecast!$F$9/Revenue_Forecast!$F$11)*(1-Assumptions!$G$19)+Assumptions!$G$20+Assumptions!$G$21)-F$60*(1-0.5*Assumptions!$G$16*Assumptions!$G$19)</f>
        <v>13121.169494776026</v>
      </c>
      <c r="G64" s="14">
        <f>Cash_Flow!$F$14+$B64*Revenue_Forecast!$E$11*((1-Operating_Forecast!$F$9/Revenue_Forecast!$F$11)*(1-Assumptions!$G$19)+Assumptions!$G$20+Assumptions!$G$21)-G$60*(1-0.5*Assumptions!$G$16*Assumptions!$G$19)</f>
        <v>3219.1694947760261</v>
      </c>
      <c r="H64" s="14">
        <f>Cash_Flow!$F$14+$B64*Revenue_Forecast!$E$11*((1-Operating_Forecast!$F$9/Revenue_Forecast!$F$11)*(1-Assumptions!$G$19)+Assumptions!$G$20+Assumptions!$G$21)-H$60*(1-0.5*Assumptions!$G$16*Assumptions!$G$19)</f>
        <v>-6682.8305052239739</v>
      </c>
    </row>
    <row r="65" spans="1:8" x14ac:dyDescent="0.2">
      <c r="B65" s="36">
        <f>Assumptions!$H$40</f>
        <v>0.02</v>
      </c>
      <c r="C65" s="14">
        <f>Cash_Flow!$F$14+$B65*Revenue_Forecast!$E$11*((1-Operating_Forecast!$F$9/Revenue_Forecast!$F$11)*(1-Assumptions!$G$19)+Assumptions!$G$20+Assumptions!$G$21)-C$60*(1-0.5*Assumptions!$G$16*Assumptions!$G$19)</f>
        <v>47230.346554776028</v>
      </c>
      <c r="D65" s="14">
        <f>Cash_Flow!$F$14+$B65*Revenue_Forecast!$E$11*((1-Operating_Forecast!$F$9/Revenue_Forecast!$F$11)*(1-Assumptions!$G$19)+Assumptions!$G$20+Assumptions!$G$21)-D$60*(1-0.5*Assumptions!$G$16*Assumptions!$G$19)</f>
        <v>37328.346554776028</v>
      </c>
      <c r="E65" s="14">
        <f>Cash_Flow!$F$14+$B65*Revenue_Forecast!$E$11*((1-Operating_Forecast!$F$9/Revenue_Forecast!$F$11)*(1-Assumptions!$G$19)+Assumptions!$G$20+Assumptions!$G$21)-E$60*(1-0.5*Assumptions!$G$16*Assumptions!$G$19)</f>
        <v>27426.346554776028</v>
      </c>
      <c r="F65" s="14">
        <f>Cash_Flow!$F$14+$B65*Revenue_Forecast!$E$11*((1-Operating_Forecast!$F$9/Revenue_Forecast!$F$11)*(1-Assumptions!$G$19)+Assumptions!$G$20+Assumptions!$G$21)-F$60*(1-0.5*Assumptions!$G$16*Assumptions!$G$19)</f>
        <v>17524.346554776028</v>
      </c>
      <c r="G65" s="14">
        <f>Cash_Flow!$F$14+$B65*Revenue_Forecast!$E$11*((1-Operating_Forecast!$F$9/Revenue_Forecast!$F$11)*(1-Assumptions!$G$19)+Assumptions!$G$20+Assumptions!$G$21)-G$60*(1-0.5*Assumptions!$G$16*Assumptions!$G$19)</f>
        <v>7622.3465547760279</v>
      </c>
      <c r="H65" s="14">
        <f>Cash_Flow!$F$14+$B65*Revenue_Forecast!$E$11*((1-Operating_Forecast!$F$9/Revenue_Forecast!$F$11)*(1-Assumptions!$G$19)+Assumptions!$G$20+Assumptions!$G$21)-H$60*(1-0.5*Assumptions!$G$16*Assumptions!$G$19)</f>
        <v>-2279.6534452239721</v>
      </c>
    </row>
    <row r="66" spans="1:8" x14ac:dyDescent="0.2">
      <c r="B66" s="36">
        <f>Assumptions!$I$40</f>
        <v>0.04</v>
      </c>
      <c r="C66" s="14">
        <f>Cash_Flow!$F$14+$B66*Revenue_Forecast!$E$11*((1-Operating_Forecast!$F$9/Revenue_Forecast!$F$11)*(1-Assumptions!$G$19)+Assumptions!$G$20+Assumptions!$G$21)-C$60*(1-0.5*Assumptions!$G$16*Assumptions!$G$19)</f>
        <v>51633.52361477603</v>
      </c>
      <c r="D66" s="14">
        <f>Cash_Flow!$F$14+$B66*Revenue_Forecast!$E$11*((1-Operating_Forecast!$F$9/Revenue_Forecast!$F$11)*(1-Assumptions!$G$19)+Assumptions!$G$20+Assumptions!$G$21)-D$60*(1-0.5*Assumptions!$G$16*Assumptions!$G$19)</f>
        <v>41731.52361477603</v>
      </c>
      <c r="E66" s="14">
        <f>Cash_Flow!$F$14+$B66*Revenue_Forecast!$E$11*((1-Operating_Forecast!$F$9/Revenue_Forecast!$F$11)*(1-Assumptions!$G$19)+Assumptions!$G$20+Assumptions!$G$21)-E$60*(1-0.5*Assumptions!$G$16*Assumptions!$G$19)</f>
        <v>31829.523614776026</v>
      </c>
      <c r="F66" s="14">
        <f>Cash_Flow!$F$14+$B66*Revenue_Forecast!$E$11*((1-Operating_Forecast!$F$9/Revenue_Forecast!$F$11)*(1-Assumptions!$G$19)+Assumptions!$G$20+Assumptions!$G$21)-F$60*(1-0.5*Assumptions!$G$16*Assumptions!$G$19)</f>
        <v>21927.523614776026</v>
      </c>
      <c r="G66" s="14">
        <f>Cash_Flow!$F$14+$B66*Revenue_Forecast!$E$11*((1-Operating_Forecast!$F$9/Revenue_Forecast!$F$11)*(1-Assumptions!$G$19)+Assumptions!$G$20+Assumptions!$G$21)-G$60*(1-0.5*Assumptions!$G$16*Assumptions!$G$19)</f>
        <v>12025.523614776026</v>
      </c>
      <c r="H66" s="14">
        <f>Cash_Flow!$F$14+$B66*Revenue_Forecast!$E$11*((1-Operating_Forecast!$F$9/Revenue_Forecast!$F$11)*(1-Assumptions!$G$19)+Assumptions!$G$20+Assumptions!$G$21)-H$60*(1-0.5*Assumptions!$G$16*Assumptions!$G$19)</f>
        <v>2123.5236147760261</v>
      </c>
    </row>
    <row r="69" spans="1:8" x14ac:dyDescent="0.2">
      <c r="A69" s="4" t="str">
        <f>"Sensitivity grid 2: FY2027E operating margin, scenario "&amp;Assumptions!C4&amp;" - rows: change in cost of revenue net of D&amp;A ratio; columns: change in depreciation rate"</f>
        <v>Sensitivity grid 2: FY2027E operating margin, scenario Base - rows: change in cost of revenue net of D&amp;A ratio; columns: change in depreciation rate</v>
      </c>
    </row>
    <row r="70" spans="1:8" x14ac:dyDescent="0.2">
      <c r="B70" s="34" t="s">
        <v>858</v>
      </c>
      <c r="C70" s="37">
        <f>Assumptions!$D$43</f>
        <v>-0.01</v>
      </c>
      <c r="D70" s="37">
        <f>Assumptions!$E$43</f>
        <v>-5.0000000000000001E-3</v>
      </c>
      <c r="E70" s="37">
        <f>Assumptions!$F$43</f>
        <v>0</v>
      </c>
      <c r="F70" s="37">
        <f>Assumptions!$G$43</f>
        <v>5.0000000000000001E-3</v>
      </c>
      <c r="G70" s="37">
        <f>Assumptions!$H$43</f>
        <v>0.01</v>
      </c>
      <c r="H70" s="37">
        <f>Assumptions!$I$43</f>
        <v>1.4999999999999999E-2</v>
      </c>
    </row>
    <row r="71" spans="1:8" x14ac:dyDescent="0.2">
      <c r="B71" s="36">
        <f>Assumptions!$D$42</f>
        <v>-0.01</v>
      </c>
      <c r="C71" s="15">
        <f>(Operating_Forecast!$F$18-$B71*Revenue_Forecast!$F$11-C$70*Capex_and_Depreciation!$F$23)/Revenue_Forecast!$F$11</f>
        <v>0.48161987939712841</v>
      </c>
      <c r="D71" s="15">
        <f>(Operating_Forecast!$F$18-$B71*Revenue_Forecast!$F$11-D$70*Capex_and_Depreciation!$F$23)/Revenue_Forecast!$F$11</f>
        <v>0.47484969597913929</v>
      </c>
      <c r="E71" s="15">
        <f>(Operating_Forecast!$F$18-$B71*Revenue_Forecast!$F$11-E$70*Capex_and_Depreciation!$F$23)/Revenue_Forecast!$F$11</f>
        <v>0.46807951256115021</v>
      </c>
      <c r="F71" s="15">
        <f>(Operating_Forecast!$F$18-$B71*Revenue_Forecast!$F$11-F$70*Capex_and_Depreciation!$F$23)/Revenue_Forecast!$F$11</f>
        <v>0.46130932914316108</v>
      </c>
      <c r="G71" s="15">
        <f>(Operating_Forecast!$F$18-$B71*Revenue_Forecast!$F$11-G$70*Capex_and_Depreciation!$F$23)/Revenue_Forecast!$F$11</f>
        <v>0.45453914572517196</v>
      </c>
      <c r="H71" s="15">
        <f>(Operating_Forecast!$F$18-$B71*Revenue_Forecast!$F$11-H$70*Capex_and_Depreciation!$F$23)/Revenue_Forecast!$F$11</f>
        <v>0.44776896230718283</v>
      </c>
    </row>
    <row r="72" spans="1:8" x14ac:dyDescent="0.2">
      <c r="B72" s="36">
        <f>Assumptions!$E$42</f>
        <v>-5.0000000000000001E-3</v>
      </c>
      <c r="C72" s="15">
        <f>(Operating_Forecast!$F$18-$B72*Revenue_Forecast!$F$11-C$70*Capex_and_Depreciation!$F$23)/Revenue_Forecast!$F$11</f>
        <v>0.47661987939712835</v>
      </c>
      <c r="D72" s="15">
        <f>(Operating_Forecast!$F$18-$B72*Revenue_Forecast!$F$11-D$70*Capex_and_Depreciation!$F$23)/Revenue_Forecast!$F$11</f>
        <v>0.46984969597913923</v>
      </c>
      <c r="E72" s="15">
        <f>(Operating_Forecast!$F$18-$B72*Revenue_Forecast!$F$11-E$70*Capex_and_Depreciation!$F$23)/Revenue_Forecast!$F$11</f>
        <v>0.46307951256115015</v>
      </c>
      <c r="F72" s="15">
        <f>(Operating_Forecast!$F$18-$B72*Revenue_Forecast!$F$11-F$70*Capex_and_Depreciation!$F$23)/Revenue_Forecast!$F$11</f>
        <v>0.45630932914316102</v>
      </c>
      <c r="G72" s="15">
        <f>(Operating_Forecast!$F$18-$B72*Revenue_Forecast!$F$11-G$70*Capex_and_Depreciation!$F$23)/Revenue_Forecast!$F$11</f>
        <v>0.4495391457251719</v>
      </c>
      <c r="H72" s="15">
        <f>(Operating_Forecast!$F$18-$B72*Revenue_Forecast!$F$11-H$70*Capex_and_Depreciation!$F$23)/Revenue_Forecast!$F$11</f>
        <v>0.44276896230718282</v>
      </c>
    </row>
    <row r="73" spans="1:8" x14ac:dyDescent="0.2">
      <c r="B73" s="36">
        <f>Assumptions!$F$42</f>
        <v>0</v>
      </c>
      <c r="C73" s="15">
        <f>(Operating_Forecast!$F$18-$B73*Revenue_Forecast!$F$11-C$70*Capex_and_Depreciation!$F$23)/Revenue_Forecast!$F$11</f>
        <v>0.47161987939712835</v>
      </c>
      <c r="D73" s="15">
        <f>(Operating_Forecast!$F$18-$B73*Revenue_Forecast!$F$11-D$70*Capex_and_Depreciation!$F$23)/Revenue_Forecast!$F$11</f>
        <v>0.46484969597913928</v>
      </c>
      <c r="E73" s="15">
        <f>(Operating_Forecast!$F$18-$B73*Revenue_Forecast!$F$11-E$70*Capex_and_Depreciation!$F$23)/Revenue_Forecast!$F$11</f>
        <v>0.45807951256115015</v>
      </c>
      <c r="F73" s="15">
        <f>(Operating_Forecast!$F$18-$B73*Revenue_Forecast!$F$11-F$70*Capex_and_Depreciation!$F$23)/Revenue_Forecast!$F$11</f>
        <v>0.45130932914316102</v>
      </c>
      <c r="G73" s="15">
        <f>(Operating_Forecast!$F$18-$B73*Revenue_Forecast!$F$11-G$70*Capex_and_Depreciation!$F$23)/Revenue_Forecast!$F$11</f>
        <v>0.44453914572517195</v>
      </c>
      <c r="H73" s="15">
        <f>(Operating_Forecast!$F$18-$B73*Revenue_Forecast!$F$11-H$70*Capex_and_Depreciation!$F$23)/Revenue_Forecast!$F$11</f>
        <v>0.43776896230718282</v>
      </c>
    </row>
    <row r="74" spans="1:8" x14ac:dyDescent="0.2">
      <c r="B74" s="36">
        <f>Assumptions!$G$42</f>
        <v>5.0000000000000001E-3</v>
      </c>
      <c r="C74" s="15">
        <f>(Operating_Forecast!$F$18-$B74*Revenue_Forecast!$F$11-C$70*Capex_and_Depreciation!$F$23)/Revenue_Forecast!$F$11</f>
        <v>0.4666198793971284</v>
      </c>
      <c r="D74" s="15">
        <f>(Operating_Forecast!$F$18-$B74*Revenue_Forecast!$F$11-D$70*Capex_and_Depreciation!$F$23)/Revenue_Forecast!$F$11</f>
        <v>0.45984969597913927</v>
      </c>
      <c r="E74" s="15">
        <f>(Operating_Forecast!$F$18-$B74*Revenue_Forecast!$F$11-E$70*Capex_and_Depreciation!$F$23)/Revenue_Forecast!$F$11</f>
        <v>0.4530795125611502</v>
      </c>
      <c r="F74" s="15">
        <f>(Operating_Forecast!$F$18-$B74*Revenue_Forecast!$F$11-F$70*Capex_and_Depreciation!$F$23)/Revenue_Forecast!$F$11</f>
        <v>0.44630932914316107</v>
      </c>
      <c r="G74" s="15">
        <f>(Operating_Forecast!$F$18-$B74*Revenue_Forecast!$F$11-G$70*Capex_and_Depreciation!$F$23)/Revenue_Forecast!$F$11</f>
        <v>0.43953914572517194</v>
      </c>
      <c r="H74" s="15">
        <f>(Operating_Forecast!$F$18-$B74*Revenue_Forecast!$F$11-H$70*Capex_and_Depreciation!$F$23)/Revenue_Forecast!$F$11</f>
        <v>0.43276896230718287</v>
      </c>
    </row>
    <row r="75" spans="1:8" x14ac:dyDescent="0.2">
      <c r="B75" s="36">
        <f>Assumptions!$H$42</f>
        <v>0.01</v>
      </c>
      <c r="C75" s="15">
        <f>(Operating_Forecast!$F$18-$B75*Revenue_Forecast!$F$11-C$70*Capex_and_Depreciation!$F$23)/Revenue_Forecast!$F$11</f>
        <v>0.46161987939712834</v>
      </c>
      <c r="D75" s="15">
        <f>(Operating_Forecast!$F$18-$B75*Revenue_Forecast!$F$11-D$70*Capex_and_Depreciation!$F$23)/Revenue_Forecast!$F$11</f>
        <v>0.45484969597913921</v>
      </c>
      <c r="E75" s="15">
        <f>(Operating_Forecast!$F$18-$B75*Revenue_Forecast!$F$11-E$70*Capex_and_Depreciation!$F$23)/Revenue_Forecast!$F$11</f>
        <v>0.44807951256115014</v>
      </c>
      <c r="F75" s="15">
        <f>(Operating_Forecast!$F$18-$B75*Revenue_Forecast!$F$11-F$70*Capex_and_Depreciation!$F$23)/Revenue_Forecast!$F$11</f>
        <v>0.44130932914316101</v>
      </c>
      <c r="G75" s="15">
        <f>(Operating_Forecast!$F$18-$B75*Revenue_Forecast!$F$11-G$70*Capex_and_Depreciation!$F$23)/Revenue_Forecast!$F$11</f>
        <v>0.43453914572517188</v>
      </c>
      <c r="H75" s="15">
        <f>(Operating_Forecast!$F$18-$B75*Revenue_Forecast!$F$11-H$70*Capex_and_Depreciation!$F$23)/Revenue_Forecast!$F$11</f>
        <v>0.42776896230718281</v>
      </c>
    </row>
    <row r="76" spans="1:8" x14ac:dyDescent="0.2">
      <c r="B76" s="36">
        <f>Assumptions!$I$42</f>
        <v>1.4999999999999999E-2</v>
      </c>
      <c r="C76" s="15">
        <f>(Operating_Forecast!$F$18-$B76*Revenue_Forecast!$F$11-C$70*Capex_and_Depreciation!$F$23)/Revenue_Forecast!$F$11</f>
        <v>0.45661987939712839</v>
      </c>
      <c r="D76" s="15">
        <f>(Operating_Forecast!$F$18-$B76*Revenue_Forecast!$F$11-D$70*Capex_and_Depreciation!$F$23)/Revenue_Forecast!$F$11</f>
        <v>0.44984969597913926</v>
      </c>
      <c r="E76" s="15">
        <f>(Operating_Forecast!$F$18-$B76*Revenue_Forecast!$F$11-E$70*Capex_and_Depreciation!$F$23)/Revenue_Forecast!$F$11</f>
        <v>0.44307951256115014</v>
      </c>
      <c r="F76" s="15">
        <f>(Operating_Forecast!$F$18-$B76*Revenue_Forecast!$F$11-F$70*Capex_and_Depreciation!$F$23)/Revenue_Forecast!$F$11</f>
        <v>0.43630932914316101</v>
      </c>
      <c r="G76" s="15">
        <f>(Operating_Forecast!$F$18-$B76*Revenue_Forecast!$F$11-G$70*Capex_and_Depreciation!$F$23)/Revenue_Forecast!$F$11</f>
        <v>0.42953914572517193</v>
      </c>
      <c r="H76" s="15">
        <f>(Operating_Forecast!$F$18-$B76*Revenue_Forecast!$F$11-H$70*Capex_and_Depreciation!$F$23)/Revenue_Forecast!$F$11</f>
        <v>0.42276896230718281</v>
      </c>
    </row>
    <row r="78" spans="1:8" x14ac:dyDescent="0.2">
      <c r="B78" s="2" t="s">
        <v>859</v>
      </c>
    </row>
    <row r="80" spans="1:8" x14ac:dyDescent="0.2">
      <c r="A80" s="4" t="str">
        <f>"What growth or margin performance would support the investment? Break-evens for scenario "&amp;Assumptions!C4</f>
        <v>What growth or margin performance would support the investment? Break-evens for scenario Base</v>
      </c>
    </row>
    <row r="81" spans="1:9" x14ac:dyDescent="0.2">
      <c r="A81" s="7"/>
      <c r="B81" s="7" t="s">
        <v>860</v>
      </c>
      <c r="C81" s="7" t="s">
        <v>861</v>
      </c>
      <c r="D81" s="7" t="s">
        <v>862</v>
      </c>
    </row>
    <row r="82" spans="1:9" x14ac:dyDescent="0.2">
      <c r="B82" s="8" t="s">
        <v>863</v>
      </c>
      <c r="C82" s="19">
        <f>Revenue_Forecast!$F$12-Cash_Flow!$F$14/(((1-Operating_Forecast!$F$9/Revenue_Forecast!$F$11)*(1-Assumptions!$G$19)+Assumptions!$G$20+Assumptions!$G$21)*Revenue_Forecast!$E$11)</f>
        <v>6.0046739514944922E-2</v>
      </c>
      <c r="D82" s="15">
        <f>Revenue_Forecast!$F$12</f>
        <v>0.16462200042791864</v>
      </c>
      <c r="E82" s="2" t="s">
        <v>864</v>
      </c>
    </row>
    <row r="83" spans="1:9" x14ac:dyDescent="0.2">
      <c r="B83" s="8" t="s">
        <v>865</v>
      </c>
      <c r="C83" s="21">
        <f>Capex_and_Depreciation!$F$8+Cash_Flow!$F$14/(1-0.5*Assumptions!$G$16*Assumptions!$G$19)</f>
        <v>207251.02958470615</v>
      </c>
      <c r="D83" s="14">
        <f>Capex_and_Depreciation!$F$8</f>
        <v>184000</v>
      </c>
      <c r="E83" s="2" t="s">
        <v>866</v>
      </c>
    </row>
    <row r="84" spans="1:9" x14ac:dyDescent="0.2">
      <c r="B84" s="8" t="s">
        <v>867</v>
      </c>
      <c r="C84" s="19">
        <f>Revenue_Forecast!$F$12+(Cash_Flow!$E$14-Cash_Flow!$F$14)/(((1-Operating_Forecast!$F$9/Revenue_Forecast!$F$11)*(1-Assumptions!$G$19)+Assumptions!$G$20+Assumptions!$G$21)*Revenue_Forecast!$E$11)</f>
        <v>0.36431340463969464</v>
      </c>
      <c r="D84" s="14">
        <f>Cash_Flow!$E$14</f>
        <v>66987</v>
      </c>
      <c r="E84" s="2" t="s">
        <v>868</v>
      </c>
    </row>
    <row r="85" spans="1:9" x14ac:dyDescent="0.2">
      <c r="B85" s="8" t="s">
        <v>869</v>
      </c>
      <c r="C85" s="19">
        <f>IF(1-Operating_Forecast!$F$9/Revenue_Forecast!$F$11-Operating_Forecast!$E$19&lt;=0,"n.m.",(Operating_Forecast!$F$17+Capex_and_Depreciation!$F$27)/(1-Operating_Forecast!$F$9/Revenue_Forecast!$F$11-Operating_Forecast!$E$19)/Revenue_Forecast!$E$11-1)</f>
        <v>0.19919115601037141</v>
      </c>
      <c r="D85" s="15">
        <f>Operating_Forecast!$E$19</f>
        <v>0.46780818408927222</v>
      </c>
      <c r="E85" s="2" t="s">
        <v>870</v>
      </c>
    </row>
    <row r="86" spans="1:9" x14ac:dyDescent="0.2">
      <c r="B86" s="8" t="s">
        <v>871</v>
      </c>
      <c r="C86" s="36">
        <f>(Operating_Forecast!$F$19-(Operating_Forecast!$E$19-0.01))</f>
        <v>2.7132847187794074E-4</v>
      </c>
      <c r="D86" s="15">
        <f>Operating_Forecast!$F$19</f>
        <v>0.45807951256115015</v>
      </c>
      <c r="E86" s="2" t="s">
        <v>872</v>
      </c>
    </row>
    <row r="89" spans="1:9" x14ac:dyDescent="0.2">
      <c r="A89" s="4" t="s">
        <v>873</v>
      </c>
    </row>
    <row r="90" spans="1:9" ht="30" x14ac:dyDescent="0.2">
      <c r="A90" s="7"/>
      <c r="B90" s="7" t="s">
        <v>377</v>
      </c>
      <c r="C90" s="7" t="s">
        <v>489</v>
      </c>
      <c r="D90" s="7" t="s">
        <v>493</v>
      </c>
      <c r="E90" s="7" t="s">
        <v>494</v>
      </c>
      <c r="F90" s="7" t="s">
        <v>874</v>
      </c>
      <c r="G90" s="7" t="s">
        <v>489</v>
      </c>
      <c r="H90" s="7" t="s">
        <v>493</v>
      </c>
      <c r="I90" s="7" t="s">
        <v>494</v>
      </c>
    </row>
    <row r="91" spans="1:9" x14ac:dyDescent="0.2">
      <c r="B91" s="8" t="s">
        <v>384</v>
      </c>
      <c r="C91" s="15">
        <f>C12</f>
        <v>0.16462200042791864</v>
      </c>
      <c r="D91" s="15">
        <f>D12</f>
        <v>0.20033675969370712</v>
      </c>
      <c r="E91" s="15">
        <f>E12</f>
        <v>0.11060255123719642</v>
      </c>
      <c r="F91" s="2" t="str">
        <f>INDEX(tblGuidance[Wording],MATCH("G01",tblGuidance[ID],0))</f>
        <v>Another fiscal year of double-digit revenue growth</v>
      </c>
      <c r="G91" s="38" t="str">
        <f>IF(C91&gt;=INDEX(tblGuidance[Low],MATCH("G01",tblGuidance[ID],0)),"In line","Outside")</f>
        <v>In line</v>
      </c>
      <c r="H91" s="38" t="str">
        <f>IF(D91&gt;=INDEX(tblGuidance[Low],MATCH("G01",tblGuidance[ID],0)),"In line","Outside")</f>
        <v>In line</v>
      </c>
      <c r="I91" s="38" t="str">
        <f>IF(E91&gt;=INDEX(tblGuidance[Low],MATCH("G01",tblGuidance[ID],0)),"In line","Outside")</f>
        <v>In line</v>
      </c>
    </row>
    <row r="92" spans="1:9" x14ac:dyDescent="0.2">
      <c r="B92" s="8" t="s">
        <v>389</v>
      </c>
      <c r="C92" s="15">
        <f>C19/Operating_Forecast!$E$18-1</f>
        <v>0.14040219136526755</v>
      </c>
      <c r="D92" s="15">
        <f>D19/Operating_Forecast!$E$18-1</f>
        <v>0.2339795434553551</v>
      </c>
      <c r="E92" s="15">
        <f>E19/Operating_Forecast!$E$18-1</f>
        <v>-1.1569222871682605E-2</v>
      </c>
      <c r="F92" s="2" t="str">
        <f>INDEX(tblGuidance[Wording],MATCH("G02",tblGuidance[ID],0))</f>
        <v>Another fiscal year of double-digit operating income growth</v>
      </c>
      <c r="G92" s="38" t="str">
        <f>IF(C92&gt;=INDEX(tblGuidance[Low],MATCH("G02",tblGuidance[ID],0)),"In line","Outside")</f>
        <v>In line</v>
      </c>
      <c r="H92" s="38" t="str">
        <f>IF(D92&gt;=INDEX(tblGuidance[Low],MATCH("G02",tblGuidance[ID],0)),"In line","Outside")</f>
        <v>In line</v>
      </c>
      <c r="I92" s="38" t="str">
        <f>IF(E92&gt;=INDEX(tblGuidance[Low],MATCH("G02",tblGuidance[ID],0)),"In line","Outside")</f>
        <v>Outside</v>
      </c>
    </row>
    <row r="93" spans="1:9" x14ac:dyDescent="0.2">
      <c r="B93" s="8" t="s">
        <v>396</v>
      </c>
      <c r="C93" s="16">
        <f>C20-Operating_Forecast!$E$19</f>
        <v>-9.7286715281220681E-3</v>
      </c>
      <c r="D93" s="16">
        <f>D20-Operating_Forecast!$E$19</f>
        <v>1.3111628426059951E-2</v>
      </c>
      <c r="E93" s="16">
        <f>E20-Operating_Forecast!$E$19</f>
        <v>-5.1461214211305228E-2</v>
      </c>
      <c r="F93" s="2" t="str">
        <f>INDEX(tblGuidance[Wording],MATCH("G04",tblGuidance[ID],0))</f>
        <v>Full fiscal year operating margins should be down less than a point</v>
      </c>
      <c r="G93" s="38" t="str">
        <f>IF(C93&gt;=INDEX(tblGuidance[Low],MATCH("G04",tblGuidance[ID],0)),"In line","Outside")</f>
        <v>In line</v>
      </c>
      <c r="H93" s="38" t="str">
        <f>IF(D93&gt;=INDEX(tblGuidance[Low],MATCH("G04",tblGuidance[ID],0)),"In line","Outside")</f>
        <v>In line</v>
      </c>
      <c r="I93" s="38" t="str">
        <f>IF(E93&gt;=INDEX(tblGuidance[Low],MATCH("G04",tblGuidance[ID],0)),"In line","Outside")</f>
        <v>Outside</v>
      </c>
    </row>
    <row r="94" spans="1:9" x14ac:dyDescent="0.2">
      <c r="B94" s="8" t="s">
        <v>875</v>
      </c>
      <c r="C94" s="15">
        <f>C25/Capex_and_Depreciation!$E$8-1</f>
        <v>0.58691827370890404</v>
      </c>
      <c r="D94" s="15">
        <f>D25/Capex_and_Depreciation!$E$8-1</f>
        <v>0.55242005036740616</v>
      </c>
      <c r="E94" s="15">
        <f>E25/Capex_and_Depreciation!$E$8-1</f>
        <v>0.68178838789802332</v>
      </c>
      <c r="F94" s="2" t="str">
        <f>INDEX(tblGuidance[Wording],MATCH("G05",tblGuidance[ID],0))</f>
        <v>FY27 capital expenditures will grow year-over-year</v>
      </c>
      <c r="G94" s="38" t="str">
        <f t="shared" ref="G94:I95" si="19">IF(C94&gt;0,"In line","Outside")</f>
        <v>In line</v>
      </c>
      <c r="H94" s="38" t="str">
        <f t="shared" si="19"/>
        <v>In line</v>
      </c>
      <c r="I94" s="38" t="str">
        <f t="shared" si="19"/>
        <v>In line</v>
      </c>
    </row>
    <row r="95" spans="1:9" x14ac:dyDescent="0.2">
      <c r="B95" s="8" t="s">
        <v>666</v>
      </c>
      <c r="C95" s="14">
        <f>C39</f>
        <v>23023.169494776026</v>
      </c>
      <c r="D95" s="14">
        <f>D39</f>
        <v>38473.635544903198</v>
      </c>
      <c r="E95" s="14">
        <f>E39</f>
        <v>-9101.6803057451034</v>
      </c>
      <c r="F95" s="2" t="str">
        <f>INDEX(tblGuidance[Wording],MATCH("G06",tblGuidance[ID],0))</f>
        <v>Expect to remain free cash flow positive in FY27</v>
      </c>
      <c r="G95" s="38" t="str">
        <f t="shared" si="19"/>
        <v>In line</v>
      </c>
      <c r="H95" s="38" t="str">
        <f t="shared" si="19"/>
        <v>In line</v>
      </c>
      <c r="I95" s="38" t="str">
        <f t="shared" si="19"/>
        <v>Outside</v>
      </c>
    </row>
  </sheetData>
  <pageMargins left="0.75" right="0.75" top="1" bottom="1" header="0.5" footer="0.5"/>
  <pageSetup fitToHeight="0"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112"/>
  <sheetViews>
    <sheetView showGridLines="0" workbookViewId="0"/>
  </sheetViews>
  <sheetFormatPr baseColWidth="10" defaultColWidth="8.83203125" defaultRowHeight="15" x14ac:dyDescent="0.2"/>
  <cols>
    <col min="1" max="1" width="3" customWidth="1"/>
    <col min="2" max="2" width="30" customWidth="1"/>
    <col min="3" max="13" width="14" customWidth="1"/>
  </cols>
  <sheetData>
    <row r="1" spans="1:13" ht="19" x14ac:dyDescent="0.25">
      <c r="A1" s="1" t="s">
        <v>876</v>
      </c>
    </row>
    <row r="2" spans="1:13" x14ac:dyDescent="0.2">
      <c r="A2" s="2" t="s">
        <v>877</v>
      </c>
    </row>
    <row r="3" spans="1:13" x14ac:dyDescent="0.2">
      <c r="A3" s="3" t="s">
        <v>878</v>
      </c>
    </row>
    <row r="4" spans="1:13" x14ac:dyDescent="0.2">
      <c r="B4" s="4" t="str">
        <f>"Scenario shown: "&amp;Assumptions!C4&amp;"   |   Controls: "&amp;Checks!B4&amp;"   |   Research cut-off: October 11, 2026"</f>
        <v>Scenario shown: Base   |   Controls: ALL 55 CHECKS PASS (3 information rows)   |   Research cut-off: October 11, 2026</v>
      </c>
    </row>
    <row r="6" spans="1:13" x14ac:dyDescent="0.2">
      <c r="B6" s="46" t="s">
        <v>879</v>
      </c>
      <c r="C6" s="47"/>
      <c r="D6" s="46" t="s">
        <v>870</v>
      </c>
      <c r="E6" s="47"/>
      <c r="F6" s="46" t="s">
        <v>880</v>
      </c>
      <c r="G6" s="47"/>
      <c r="H6" s="46" t="s">
        <v>881</v>
      </c>
      <c r="I6" s="47"/>
      <c r="J6" s="50" t="s">
        <v>882</v>
      </c>
      <c r="K6" s="47"/>
      <c r="L6" s="50" t="s">
        <v>883</v>
      </c>
      <c r="M6" s="47"/>
    </row>
    <row r="7" spans="1:13" ht="30" customHeight="1" x14ac:dyDescent="0.2">
      <c r="B7" s="49">
        <f>Revenue_Forecast!E11</f>
        <v>331839</v>
      </c>
      <c r="C7" s="47"/>
      <c r="D7" s="48">
        <f>Operating_Forecast!E19</f>
        <v>0.46780818408927222</v>
      </c>
      <c r="E7" s="47"/>
      <c r="F7" s="49">
        <f>Cash_Flow!E14</f>
        <v>66987</v>
      </c>
      <c r="G7" s="47"/>
      <c r="H7" s="48">
        <f>Capex_and_Depreciation!E13</f>
        <v>0.34941040685392616</v>
      </c>
      <c r="I7" s="47"/>
      <c r="J7" s="49">
        <f>Revenue_Forecast!F11</f>
        <v>386467.00000000006</v>
      </c>
      <c r="K7" s="47"/>
      <c r="L7" s="49">
        <f>Cash_Flow!F14</f>
        <v>23023.169494776026</v>
      </c>
      <c r="M7" s="47"/>
    </row>
    <row r="8" spans="1:13" x14ac:dyDescent="0.2">
      <c r="B8" s="39" t="s">
        <v>884</v>
      </c>
      <c r="C8" s="40">
        <f>Revenue_Forecast!E12</f>
        <v>0.17788686799846665</v>
      </c>
      <c r="D8" s="39" t="s">
        <v>885</v>
      </c>
      <c r="E8" s="41">
        <f>Operating_Forecast!D19</f>
        <v>0.45621956240859851</v>
      </c>
      <c r="F8" s="39" t="s">
        <v>884</v>
      </c>
      <c r="G8" s="40">
        <f>Cash_Flow!G14</f>
        <v>-6.4571085447766352E-2</v>
      </c>
      <c r="H8" s="39" t="s">
        <v>885</v>
      </c>
      <c r="I8" s="41">
        <f>Capex_and_Depreciation!D13</f>
        <v>0.22912850875324786</v>
      </c>
      <c r="J8" s="39" t="s">
        <v>886</v>
      </c>
      <c r="K8" s="40">
        <f>Revenue_Forecast!F12</f>
        <v>0.16462200042791864</v>
      </c>
      <c r="L8" s="39" t="s">
        <v>886</v>
      </c>
      <c r="M8" s="40">
        <f>Cash_Flow!H14</f>
        <v>-0.65630391725594484</v>
      </c>
    </row>
    <row r="64" spans="2:2" x14ac:dyDescent="0.2">
      <c r="B64" s="4" t="s">
        <v>887</v>
      </c>
    </row>
    <row r="65" spans="2:2" x14ac:dyDescent="0.2">
      <c r="B65" s="2" t="s">
        <v>888</v>
      </c>
    </row>
    <row r="66" spans="2:2" x14ac:dyDescent="0.2">
      <c r="B66" s="2" t="s">
        <v>889</v>
      </c>
    </row>
    <row r="67" spans="2:2" x14ac:dyDescent="0.2">
      <c r="B67" s="2" t="s">
        <v>890</v>
      </c>
    </row>
    <row r="68" spans="2:2" x14ac:dyDescent="0.2">
      <c r="B68" s="2" t="s">
        <v>891</v>
      </c>
    </row>
    <row r="81" spans="1:6" x14ac:dyDescent="0.2">
      <c r="A81" s="4" t="s">
        <v>892</v>
      </c>
    </row>
    <row r="82" spans="1:6" x14ac:dyDescent="0.2">
      <c r="A82" s="7"/>
      <c r="B82" s="7" t="s">
        <v>893</v>
      </c>
      <c r="C82" s="7" t="s">
        <v>460</v>
      </c>
      <c r="D82" s="7" t="s">
        <v>461</v>
      </c>
      <c r="E82" s="7" t="s">
        <v>462</v>
      </c>
      <c r="F82" s="7" t="s">
        <v>598</v>
      </c>
    </row>
    <row r="83" spans="1:6" x14ac:dyDescent="0.2">
      <c r="B83" s="8" t="s">
        <v>258</v>
      </c>
      <c r="C83" s="14">
        <f>Revenue_Forecast!C8</f>
        <v>106820</v>
      </c>
      <c r="D83" s="14">
        <f>Revenue_Forecast!D8</f>
        <v>120810</v>
      </c>
      <c r="E83" s="14">
        <f>Revenue_Forecast!E8</f>
        <v>139996</v>
      </c>
      <c r="F83" s="14">
        <f>Revenue_Forecast!F8</f>
        <v>155395.56000000003</v>
      </c>
    </row>
    <row r="84" spans="1:6" x14ac:dyDescent="0.2">
      <c r="B84" s="8" t="s">
        <v>267</v>
      </c>
      <c r="C84" s="14">
        <f>Revenue_Forecast!C9</f>
        <v>87464</v>
      </c>
      <c r="D84" s="14">
        <f>Revenue_Forecast!D9</f>
        <v>106265</v>
      </c>
      <c r="E84" s="14">
        <f>Revenue_Forecast!E9</f>
        <v>137791</v>
      </c>
      <c r="F84" s="14">
        <f>Revenue_Forecast!F9</f>
        <v>181884.12</v>
      </c>
    </row>
    <row r="85" spans="1:6" x14ac:dyDescent="0.2">
      <c r="B85" s="8" t="s">
        <v>272</v>
      </c>
      <c r="C85" s="14">
        <f>Revenue_Forecast!C10</f>
        <v>50838</v>
      </c>
      <c r="D85" s="14">
        <f>Revenue_Forecast!D10</f>
        <v>54649</v>
      </c>
      <c r="E85" s="14">
        <f>Revenue_Forecast!E10</f>
        <v>54052</v>
      </c>
      <c r="F85" s="14">
        <f>Revenue_Forecast!F10</f>
        <v>49187.32</v>
      </c>
    </row>
    <row r="88" spans="1:6" x14ac:dyDescent="0.2">
      <c r="A88" s="7"/>
      <c r="B88" s="7" t="s">
        <v>894</v>
      </c>
      <c r="C88" s="7" t="s">
        <v>460</v>
      </c>
      <c r="D88" s="7" t="s">
        <v>461</v>
      </c>
      <c r="E88" s="7" t="s">
        <v>462</v>
      </c>
      <c r="F88" s="7" t="s">
        <v>598</v>
      </c>
    </row>
    <row r="89" spans="1:6" x14ac:dyDescent="0.2">
      <c r="B89" s="8" t="s">
        <v>639</v>
      </c>
      <c r="C89" s="15">
        <f>Operating_Forecast!C13</f>
        <v>0.69764443827971379</v>
      </c>
      <c r="D89" s="15">
        <f>Operating_Forecast!D13</f>
        <v>0.68823742386165188</v>
      </c>
      <c r="E89" s="15">
        <f>Operating_Forecast!E13</f>
        <v>0.67944093370580316</v>
      </c>
      <c r="F89" s="15">
        <f>Operating_Forecast!F13</f>
        <v>0.65251774402722618</v>
      </c>
    </row>
    <row r="90" spans="1:6" x14ac:dyDescent="0.2">
      <c r="B90" s="8" t="s">
        <v>646</v>
      </c>
      <c r="C90" s="15">
        <f>Operating_Forecast!C19</f>
        <v>0.44644299573273716</v>
      </c>
      <c r="D90" s="15">
        <f>Operating_Forecast!D19</f>
        <v>0.45621956240859851</v>
      </c>
      <c r="E90" s="15">
        <f>Operating_Forecast!E19</f>
        <v>0.46780818408927222</v>
      </c>
      <c r="F90" s="15">
        <f>Operating_Forecast!F19</f>
        <v>0.45807951256115015</v>
      </c>
    </row>
    <row r="93" spans="1:6" x14ac:dyDescent="0.2">
      <c r="A93" s="7"/>
      <c r="B93" s="7" t="s">
        <v>895</v>
      </c>
      <c r="C93" s="7" t="s">
        <v>460</v>
      </c>
      <c r="D93" s="7" t="s">
        <v>461</v>
      </c>
      <c r="E93" s="7" t="s">
        <v>462</v>
      </c>
      <c r="F93" s="7" t="s">
        <v>598</v>
      </c>
    </row>
    <row r="94" spans="1:6" x14ac:dyDescent="0.2">
      <c r="B94" s="8" t="s">
        <v>896</v>
      </c>
      <c r="C94" s="14">
        <f>Cash_Flow!C12</f>
        <v>118548</v>
      </c>
      <c r="D94" s="14">
        <f>Cash_Flow!D12</f>
        <v>136162</v>
      </c>
      <c r="E94" s="14">
        <f>Cash_Flow!E12</f>
        <v>182935</v>
      </c>
      <c r="F94" s="14">
        <f>Cash_Flow!F12</f>
        <v>207023.16949477603</v>
      </c>
    </row>
    <row r="95" spans="1:6" x14ac:dyDescent="0.2">
      <c r="B95" s="8" t="s">
        <v>832</v>
      </c>
      <c r="C95" s="14">
        <f>Cash_Flow!C13</f>
        <v>44477</v>
      </c>
      <c r="D95" s="14">
        <f>Cash_Flow!D13</f>
        <v>64551</v>
      </c>
      <c r="E95" s="14">
        <f>Cash_Flow!E13</f>
        <v>115948</v>
      </c>
      <c r="F95" s="14">
        <f>Cash_Flow!F13</f>
        <v>184000</v>
      </c>
    </row>
    <row r="96" spans="1:6" x14ac:dyDescent="0.2">
      <c r="B96" s="8" t="s">
        <v>405</v>
      </c>
      <c r="C96" s="14">
        <f>Cash_Flow!C14</f>
        <v>74071</v>
      </c>
      <c r="D96" s="14">
        <f>Cash_Flow!D14</f>
        <v>71611</v>
      </c>
      <c r="E96" s="14">
        <f>Cash_Flow!E14</f>
        <v>66987</v>
      </c>
      <c r="F96" s="14">
        <f>Cash_Flow!F14</f>
        <v>23023.169494776026</v>
      </c>
    </row>
    <row r="99" spans="1:12" x14ac:dyDescent="0.2">
      <c r="A99" s="7"/>
      <c r="B99" s="7" t="s">
        <v>897</v>
      </c>
      <c r="C99" s="7" t="s">
        <v>460</v>
      </c>
      <c r="D99" s="7" t="s">
        <v>461</v>
      </c>
      <c r="E99" s="7" t="s">
        <v>462</v>
      </c>
      <c r="F99" s="7" t="s">
        <v>598</v>
      </c>
    </row>
    <row r="100" spans="1:12" x14ac:dyDescent="0.2">
      <c r="B100" s="8" t="s">
        <v>685</v>
      </c>
      <c r="C100" s="15">
        <f>Capex_and_Depreciation!C13</f>
        <v>0.18144842160230415</v>
      </c>
      <c r="D100" s="15">
        <f>Capex_and_Depreciation!D13</f>
        <v>0.22912850875324786</v>
      </c>
      <c r="E100" s="15">
        <f>Capex_and_Depreciation!E13</f>
        <v>0.34941040685392616</v>
      </c>
      <c r="F100" s="15">
        <f>Capex_and_Depreciation!F13</f>
        <v>0.47610792124553963</v>
      </c>
    </row>
    <row r="101" spans="1:12" x14ac:dyDescent="0.2">
      <c r="B101" s="8" t="s">
        <v>721</v>
      </c>
      <c r="C101" s="15">
        <f>Capex_and_Depreciation!C31</f>
        <v>8.5500281492481289E-2</v>
      </c>
      <c r="D101" s="15">
        <f>Capex_and_Depreciation!D31</f>
        <v>0.10447459215402309</v>
      </c>
      <c r="E101" s="15">
        <f>Capex_and_Depreciation!E31</f>
        <v>0.11612257751499974</v>
      </c>
      <c r="F101" s="15">
        <f>Capex_and_Depreciation!F31</f>
        <v>0.14304576719357665</v>
      </c>
    </row>
    <row r="104" spans="1:12" ht="30" x14ac:dyDescent="0.2">
      <c r="A104" s="7"/>
      <c r="B104" s="7" t="s">
        <v>898</v>
      </c>
      <c r="C104" s="7" t="s">
        <v>219</v>
      </c>
      <c r="D104" s="7" t="s">
        <v>896</v>
      </c>
      <c r="E104" s="7" t="s">
        <v>405</v>
      </c>
    </row>
    <row r="105" spans="1:12" x14ac:dyDescent="0.2">
      <c r="B105" s="8" t="s">
        <v>489</v>
      </c>
      <c r="C105" s="14">
        <f>Scenarios!C19</f>
        <v>177032.61498097004</v>
      </c>
      <c r="D105" s="14">
        <f>Scenarios!C38</f>
        <v>207023.16949477603</v>
      </c>
      <c r="E105" s="14">
        <f>Scenarios!C39</f>
        <v>23023.169494776026</v>
      </c>
    </row>
    <row r="106" spans="1:12" x14ac:dyDescent="0.2">
      <c r="B106" s="8" t="s">
        <v>493</v>
      </c>
      <c r="C106" s="14">
        <f>Scenarios!D19</f>
        <v>191559.28238737897</v>
      </c>
      <c r="D106" s="14">
        <f>Scenarios!D38</f>
        <v>218473.6355449032</v>
      </c>
      <c r="E106" s="14">
        <f>Scenarios!D39</f>
        <v>38473.635544903198</v>
      </c>
    </row>
    <row r="107" spans="1:12" x14ac:dyDescent="0.2">
      <c r="B107" s="8" t="s">
        <v>494</v>
      </c>
      <c r="C107" s="14">
        <f>Scenarios!E19</f>
        <v>153441.02854906861</v>
      </c>
      <c r="D107" s="14">
        <f>Scenarios!E38</f>
        <v>185898.3196942549</v>
      </c>
      <c r="E107" s="14">
        <f>Scenarios!E39</f>
        <v>-9101.6803057451034</v>
      </c>
    </row>
    <row r="110" spans="1:12" x14ac:dyDescent="0.2">
      <c r="A110" s="7"/>
      <c r="B110" s="7" t="s">
        <v>899</v>
      </c>
      <c r="C110" s="7" t="s">
        <v>383</v>
      </c>
      <c r="D110" s="7" t="s">
        <v>738</v>
      </c>
      <c r="E110" s="7" t="s">
        <v>739</v>
      </c>
      <c r="F110" s="7" t="s">
        <v>740</v>
      </c>
      <c r="G110" s="7" t="s">
        <v>741</v>
      </c>
      <c r="H110" s="7" t="s">
        <v>742</v>
      </c>
      <c r="I110" s="7" t="s">
        <v>743</v>
      </c>
      <c r="J110" s="7" t="s">
        <v>744</v>
      </c>
      <c r="K110" s="7" t="s">
        <v>745</v>
      </c>
      <c r="L110" s="7" t="s">
        <v>746</v>
      </c>
    </row>
    <row r="111" spans="1:12" x14ac:dyDescent="0.2">
      <c r="B111" s="8" t="s">
        <v>900</v>
      </c>
      <c r="C111" s="14">
        <f>Capex_and_Depreciation!C52</f>
        <v>1248.6666666666667</v>
      </c>
      <c r="D111" s="14">
        <f>Capex_and_Depreciation!D52</f>
        <v>2497.3333333333335</v>
      </c>
      <c r="E111" s="14">
        <f>Capex_and_Depreciation!E52</f>
        <v>2497.3333333333335</v>
      </c>
      <c r="F111" s="14">
        <f>Capex_and_Depreciation!F52</f>
        <v>2497.3333333333335</v>
      </c>
      <c r="G111" s="14">
        <f>Capex_and_Depreciation!G52</f>
        <v>2497.3333333333335</v>
      </c>
      <c r="H111" s="14">
        <f>Capex_and_Depreciation!H52</f>
        <v>2497.3333333333335</v>
      </c>
      <c r="I111" s="14">
        <f>Capex_and_Depreciation!I52</f>
        <v>1380.6666666666667</v>
      </c>
      <c r="J111" s="14">
        <f>Capex_and_Depreciation!J52</f>
        <v>263.99999999999994</v>
      </c>
      <c r="K111" s="14">
        <f>Capex_and_Depreciation!K52</f>
        <v>263.99999999999994</v>
      </c>
      <c r="L111" s="14">
        <f>Capex_and_Depreciation!L52</f>
        <v>263.99999999999994</v>
      </c>
    </row>
    <row r="112" spans="1:12" x14ac:dyDescent="0.2">
      <c r="B112" s="8" t="s">
        <v>901</v>
      </c>
      <c r="C112" s="14">
        <f>Capex_and_Depreciation!C60</f>
        <v>-17830.266666666666</v>
      </c>
      <c r="D112" s="14">
        <f>Capex_and_Depreciation!D60</f>
        <v>4339.4666666666672</v>
      </c>
      <c r="E112" s="14">
        <f>Capex_and_Depreciation!E60</f>
        <v>4339.4666666666672</v>
      </c>
      <c r="F112" s="14">
        <f>Capex_and_Depreciation!F60</f>
        <v>4339.4666666666672</v>
      </c>
      <c r="G112" s="14">
        <f>Capex_and_Depreciation!G60</f>
        <v>4339.4666666666672</v>
      </c>
      <c r="H112" s="14">
        <f>Capex_and_Depreciation!H60</f>
        <v>4339.4666666666672</v>
      </c>
      <c r="I112" s="14">
        <f>Capex_and_Depreciation!I60</f>
        <v>2196.1333333333332</v>
      </c>
      <c r="J112" s="14">
        <f>Capex_and_Depreciation!J60</f>
        <v>52.79999999999999</v>
      </c>
      <c r="K112" s="14">
        <f>Capex_and_Depreciation!K60</f>
        <v>52.79999999999999</v>
      </c>
      <c r="L112" s="14">
        <f>Capex_and_Depreciation!L60</f>
        <v>52.79999999999999</v>
      </c>
    </row>
  </sheetData>
  <mergeCells count="12">
    <mergeCell ref="J6:K6"/>
    <mergeCell ref="L6:M6"/>
    <mergeCell ref="H7:I7"/>
    <mergeCell ref="L7:M7"/>
    <mergeCell ref="J7:K7"/>
    <mergeCell ref="D6:E6"/>
    <mergeCell ref="B6:C6"/>
    <mergeCell ref="D7:E7"/>
    <mergeCell ref="B7:C7"/>
    <mergeCell ref="H6:I6"/>
    <mergeCell ref="F6:G6"/>
    <mergeCell ref="F7:G7"/>
  </mergeCells>
  <pageMargins left="0.75" right="0.75" top="1" bottom="1" header="0.5" footer="0.5"/>
  <pageSetup orientation="landscape"/>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87"/>
  <sheetViews>
    <sheetView showGridLines="0" workbookViewId="0">
      <pane xSplit="3" ySplit="6" topLeftCell="D7" activePane="bottomRight" state="frozen"/>
      <selection pane="topRight"/>
      <selection pane="bottomLeft"/>
      <selection pane="bottomRight"/>
    </sheetView>
  </sheetViews>
  <sheetFormatPr baseColWidth="10" defaultColWidth="8.83203125" defaultRowHeight="15" x14ac:dyDescent="0.2"/>
  <cols>
    <col min="1" max="1" width="7" customWidth="1"/>
    <col min="2" max="2" width="26" customWidth="1"/>
    <col min="3" max="3" width="100" customWidth="1"/>
    <col min="4" max="5" width="15" customWidth="1"/>
    <col min="6" max="6" width="13" customWidth="1"/>
    <col min="7" max="7" width="11" customWidth="1"/>
    <col min="8" max="8" width="9" customWidth="1"/>
    <col min="9" max="9" width="70" customWidth="1"/>
    <col min="10" max="16" width="11" customWidth="1"/>
  </cols>
  <sheetData>
    <row r="1" spans="1:9" ht="19" x14ac:dyDescent="0.25">
      <c r="A1" s="1" t="s">
        <v>902</v>
      </c>
    </row>
    <row r="2" spans="1:9" x14ac:dyDescent="0.2">
      <c r="A2" s="2" t="s">
        <v>903</v>
      </c>
    </row>
    <row r="3" spans="1:9" x14ac:dyDescent="0.2">
      <c r="A3" s="3" t="s">
        <v>904</v>
      </c>
    </row>
    <row r="4" spans="1:9" x14ac:dyDescent="0.2">
      <c r="A4" s="4" t="s">
        <v>905</v>
      </c>
      <c r="B4" s="4" t="str">
        <f>IF(COUNTIF(tblChecks[Status],"FAIL")=0,"ALL "&amp;COUNTIF(tblChecks[Status],"PASS")&amp;" CHECKS PASS",COUNTIF(tblChecks[Status],"FAIL")&amp;" CHECK(S) FAIL")&amp;" ("&amp;COUNTIF(tblChecks[Status],"INFO")&amp;" information rows)"</f>
        <v>ALL 55 CHECKS PASS (3 information rows)</v>
      </c>
    </row>
    <row r="6" spans="1:9" x14ac:dyDescent="0.2">
      <c r="A6" s="7" t="s">
        <v>375</v>
      </c>
      <c r="B6" s="7" t="s">
        <v>906</v>
      </c>
      <c r="C6" s="7" t="s">
        <v>907</v>
      </c>
      <c r="D6" s="7" t="s">
        <v>908</v>
      </c>
      <c r="E6" s="7" t="s">
        <v>909</v>
      </c>
      <c r="F6" s="7" t="s">
        <v>910</v>
      </c>
      <c r="G6" s="7" t="s">
        <v>911</v>
      </c>
      <c r="H6" s="7" t="s">
        <v>912</v>
      </c>
      <c r="I6" s="7" t="s">
        <v>913</v>
      </c>
    </row>
    <row r="7" spans="1:9" x14ac:dyDescent="0.2">
      <c r="A7" s="4" t="s">
        <v>543</v>
      </c>
      <c r="B7" s="8" t="s">
        <v>914</v>
      </c>
      <c r="C7" s="8" t="s">
        <v>915</v>
      </c>
      <c r="D7" s="42">
        <f>SUMPRODUCT(--(ABS(D71:O71)&gt;0.5))</f>
        <v>0</v>
      </c>
      <c r="E7" s="42">
        <v>0</v>
      </c>
      <c r="F7" s="42">
        <f t="shared" ref="F7:F38" si="0">D7-E7</f>
        <v>0</v>
      </c>
      <c r="G7" s="43">
        <v>0</v>
      </c>
      <c r="H7" s="44" t="str">
        <f t="shared" ref="H7:H38" si="1">IF(G7="info","INFO",IFERROR(IF(ABS(F7)&lt;=G7,"PASS","FAIL"),"FAIL"))</f>
        <v>PASS</v>
      </c>
      <c r="I7" s="2" t="s">
        <v>916</v>
      </c>
    </row>
    <row r="8" spans="1:9" x14ac:dyDescent="0.2">
      <c r="A8" s="4" t="s">
        <v>547</v>
      </c>
      <c r="B8" s="8" t="s">
        <v>914</v>
      </c>
      <c r="C8" s="8" t="s">
        <v>917</v>
      </c>
      <c r="D8" s="42">
        <f>SUMPRODUCT(--(ABS(D72:O72)&gt;0.5))</f>
        <v>0</v>
      </c>
      <c r="E8" s="42">
        <v>0</v>
      </c>
      <c r="F8" s="42">
        <f t="shared" si="0"/>
        <v>0</v>
      </c>
      <c r="G8" s="43">
        <v>0</v>
      </c>
      <c r="H8" s="44" t="str">
        <f t="shared" si="1"/>
        <v>PASS</v>
      </c>
      <c r="I8" s="2" t="s">
        <v>916</v>
      </c>
    </row>
    <row r="9" spans="1:9" x14ac:dyDescent="0.2">
      <c r="A9" s="4" t="s">
        <v>549</v>
      </c>
      <c r="B9" s="8" t="s">
        <v>914</v>
      </c>
      <c r="C9" s="8" t="s">
        <v>918</v>
      </c>
      <c r="D9" s="42">
        <f>SUMPRODUCT(--(ABS(D73:O73)&gt;0.5))</f>
        <v>0</v>
      </c>
      <c r="E9" s="42">
        <v>0</v>
      </c>
      <c r="F9" s="42">
        <f t="shared" si="0"/>
        <v>0</v>
      </c>
      <c r="G9" s="43">
        <v>0</v>
      </c>
      <c r="H9" s="44" t="str">
        <f t="shared" si="1"/>
        <v>PASS</v>
      </c>
      <c r="I9" s="2" t="s">
        <v>916</v>
      </c>
    </row>
    <row r="10" spans="1:9" x14ac:dyDescent="0.2">
      <c r="A10" s="4" t="s">
        <v>552</v>
      </c>
      <c r="B10" s="8" t="s">
        <v>919</v>
      </c>
      <c r="C10" s="8" t="s">
        <v>920</v>
      </c>
      <c r="D10" s="42">
        <f t="shared" ref="D10:D18" si="2">SUMPRODUCT(--(ABS(D79:O79)&gt;0.5))</f>
        <v>0</v>
      </c>
      <c r="E10" s="42">
        <v>0</v>
      </c>
      <c r="F10" s="42">
        <f t="shared" si="0"/>
        <v>0</v>
      </c>
      <c r="G10" s="43">
        <v>0</v>
      </c>
      <c r="H10" s="44" t="str">
        <f t="shared" si="1"/>
        <v>PASS</v>
      </c>
      <c r="I10" s="2" t="s">
        <v>921</v>
      </c>
    </row>
    <row r="11" spans="1:9" x14ac:dyDescent="0.2">
      <c r="A11" s="4" t="s">
        <v>555</v>
      </c>
      <c r="B11" s="8" t="s">
        <v>919</v>
      </c>
      <c r="C11" s="8" t="s">
        <v>922</v>
      </c>
      <c r="D11" s="42">
        <f t="shared" si="2"/>
        <v>0</v>
      </c>
      <c r="E11" s="42">
        <v>0</v>
      </c>
      <c r="F11" s="42">
        <f t="shared" si="0"/>
        <v>0</v>
      </c>
      <c r="G11" s="43">
        <v>0</v>
      </c>
      <c r="H11" s="44" t="str">
        <f t="shared" si="1"/>
        <v>PASS</v>
      </c>
      <c r="I11" s="2" t="s">
        <v>921</v>
      </c>
    </row>
    <row r="12" spans="1:9" x14ac:dyDescent="0.2">
      <c r="A12" s="4" t="s">
        <v>558</v>
      </c>
      <c r="B12" s="8" t="s">
        <v>919</v>
      </c>
      <c r="C12" s="8" t="s">
        <v>923</v>
      </c>
      <c r="D12" s="42">
        <f t="shared" si="2"/>
        <v>0</v>
      </c>
      <c r="E12" s="42">
        <v>0</v>
      </c>
      <c r="F12" s="42">
        <f t="shared" si="0"/>
        <v>0</v>
      </c>
      <c r="G12" s="43">
        <v>0</v>
      </c>
      <c r="H12" s="44" t="str">
        <f t="shared" si="1"/>
        <v>PASS</v>
      </c>
      <c r="I12" s="2" t="s">
        <v>921</v>
      </c>
    </row>
    <row r="13" spans="1:9" x14ac:dyDescent="0.2">
      <c r="A13" s="4" t="s">
        <v>561</v>
      </c>
      <c r="B13" s="8" t="s">
        <v>919</v>
      </c>
      <c r="C13" s="8" t="s">
        <v>924</v>
      </c>
      <c r="D13" s="42">
        <f t="shared" si="2"/>
        <v>0</v>
      </c>
      <c r="E13" s="42">
        <v>0</v>
      </c>
      <c r="F13" s="42">
        <f t="shared" si="0"/>
        <v>0</v>
      </c>
      <c r="G13" s="43">
        <v>0</v>
      </c>
      <c r="H13" s="44" t="str">
        <f t="shared" si="1"/>
        <v>PASS</v>
      </c>
      <c r="I13" s="2" t="s">
        <v>921</v>
      </c>
    </row>
    <row r="14" spans="1:9" x14ac:dyDescent="0.2">
      <c r="A14" s="4" t="s">
        <v>925</v>
      </c>
      <c r="B14" s="8" t="s">
        <v>919</v>
      </c>
      <c r="C14" s="8" t="s">
        <v>926</v>
      </c>
      <c r="D14" s="42">
        <f t="shared" si="2"/>
        <v>0</v>
      </c>
      <c r="E14" s="42">
        <v>0</v>
      </c>
      <c r="F14" s="42">
        <f t="shared" si="0"/>
        <v>0</v>
      </c>
      <c r="G14" s="43">
        <v>0</v>
      </c>
      <c r="H14" s="44" t="str">
        <f t="shared" si="1"/>
        <v>PASS</v>
      </c>
      <c r="I14" s="2" t="s">
        <v>921</v>
      </c>
    </row>
    <row r="15" spans="1:9" x14ac:dyDescent="0.2">
      <c r="A15" s="4" t="s">
        <v>927</v>
      </c>
      <c r="B15" s="8" t="s">
        <v>919</v>
      </c>
      <c r="C15" s="8" t="s">
        <v>928</v>
      </c>
      <c r="D15" s="42">
        <f t="shared" si="2"/>
        <v>0</v>
      </c>
      <c r="E15" s="42">
        <v>0</v>
      </c>
      <c r="F15" s="42">
        <f t="shared" si="0"/>
        <v>0</v>
      </c>
      <c r="G15" s="43">
        <v>0</v>
      </c>
      <c r="H15" s="44" t="str">
        <f t="shared" si="1"/>
        <v>PASS</v>
      </c>
      <c r="I15" s="2" t="s">
        <v>921</v>
      </c>
    </row>
    <row r="16" spans="1:9" x14ac:dyDescent="0.2">
      <c r="A16" s="4" t="s">
        <v>929</v>
      </c>
      <c r="B16" s="8" t="s">
        <v>919</v>
      </c>
      <c r="C16" s="8" t="s">
        <v>930</v>
      </c>
      <c r="D16" s="42">
        <f t="shared" si="2"/>
        <v>0</v>
      </c>
      <c r="E16" s="42">
        <v>0</v>
      </c>
      <c r="F16" s="42">
        <f t="shared" si="0"/>
        <v>0</v>
      </c>
      <c r="G16" s="43">
        <v>0</v>
      </c>
      <c r="H16" s="44" t="str">
        <f t="shared" si="1"/>
        <v>PASS</v>
      </c>
      <c r="I16" s="2" t="s">
        <v>921</v>
      </c>
    </row>
    <row r="17" spans="1:9" x14ac:dyDescent="0.2">
      <c r="A17" s="4" t="s">
        <v>931</v>
      </c>
      <c r="B17" s="8" t="s">
        <v>919</v>
      </c>
      <c r="C17" s="8" t="s">
        <v>932</v>
      </c>
      <c r="D17" s="42">
        <f t="shared" si="2"/>
        <v>0</v>
      </c>
      <c r="E17" s="42">
        <v>0</v>
      </c>
      <c r="F17" s="42">
        <f t="shared" si="0"/>
        <v>0</v>
      </c>
      <c r="G17" s="43">
        <v>0</v>
      </c>
      <c r="H17" s="44" t="str">
        <f t="shared" si="1"/>
        <v>PASS</v>
      </c>
      <c r="I17" s="2" t="s">
        <v>921</v>
      </c>
    </row>
    <row r="18" spans="1:9" x14ac:dyDescent="0.2">
      <c r="A18" s="4" t="s">
        <v>933</v>
      </c>
      <c r="B18" s="8" t="s">
        <v>919</v>
      </c>
      <c r="C18" s="8" t="s">
        <v>934</v>
      </c>
      <c r="D18" s="42">
        <f t="shared" si="2"/>
        <v>0</v>
      </c>
      <c r="E18" s="42">
        <v>0</v>
      </c>
      <c r="F18" s="42">
        <f t="shared" si="0"/>
        <v>0</v>
      </c>
      <c r="G18" s="43">
        <v>0</v>
      </c>
      <c r="H18" s="44" t="str">
        <f t="shared" si="1"/>
        <v>PASS</v>
      </c>
      <c r="I18" s="2" t="s">
        <v>921</v>
      </c>
    </row>
    <row r="19" spans="1:9" x14ac:dyDescent="0.2">
      <c r="A19" s="4" t="s">
        <v>935</v>
      </c>
      <c r="B19" s="8" t="s">
        <v>936</v>
      </c>
      <c r="C19" s="8" t="s">
        <v>937</v>
      </c>
      <c r="D19" s="42">
        <f>Revenue_Forecast!C11</f>
        <v>245122</v>
      </c>
      <c r="E19" s="42">
        <f>INDEX(tblAnnual[FY2024],MATCH("K_REVENUE",tblAnnual[Code],0))</f>
        <v>245122</v>
      </c>
      <c r="F19" s="42">
        <f t="shared" si="0"/>
        <v>0</v>
      </c>
      <c r="G19" s="43">
        <v>0.5</v>
      </c>
      <c r="H19" s="44" t="str">
        <f t="shared" si="1"/>
        <v>PASS</v>
      </c>
      <c r="I19" s="2" t="s">
        <v>938</v>
      </c>
    </row>
    <row r="20" spans="1:9" x14ac:dyDescent="0.2">
      <c r="A20" s="4" t="s">
        <v>939</v>
      </c>
      <c r="B20" s="8" t="s">
        <v>936</v>
      </c>
      <c r="C20" s="8" t="s">
        <v>940</v>
      </c>
      <c r="D20" s="42">
        <f>Operating_Forecast!C18</f>
        <v>109433</v>
      </c>
      <c r="E20" s="42">
        <f>INDEX(tblAnnual[FY2024],MATCH("K_OP_INCOME",tblAnnual[Code],0))</f>
        <v>109433</v>
      </c>
      <c r="F20" s="42">
        <f t="shared" si="0"/>
        <v>0</v>
      </c>
      <c r="G20" s="43">
        <v>0.5</v>
      </c>
      <c r="H20" s="44" t="str">
        <f t="shared" si="1"/>
        <v>PASS</v>
      </c>
      <c r="I20" s="2" t="s">
        <v>938</v>
      </c>
    </row>
    <row r="21" spans="1:9" x14ac:dyDescent="0.2">
      <c r="A21" s="4" t="s">
        <v>941</v>
      </c>
      <c r="B21" s="8" t="s">
        <v>936</v>
      </c>
      <c r="C21" s="8" t="s">
        <v>942</v>
      </c>
      <c r="D21" s="42">
        <f>Operating_Forecast!C23</f>
        <v>88136</v>
      </c>
      <c r="E21" s="42">
        <f>INDEX(tblAnnual[FY2024],MATCH("K_NET_INCOME",tblAnnual[Code],0))</f>
        <v>88136</v>
      </c>
      <c r="F21" s="42">
        <f t="shared" si="0"/>
        <v>0</v>
      </c>
      <c r="G21" s="43">
        <v>0.5</v>
      </c>
      <c r="H21" s="44" t="str">
        <f t="shared" si="1"/>
        <v>PASS</v>
      </c>
      <c r="I21" s="2" t="s">
        <v>938</v>
      </c>
    </row>
    <row r="22" spans="1:9" x14ac:dyDescent="0.2">
      <c r="A22" s="4" t="s">
        <v>943</v>
      </c>
      <c r="B22" s="8" t="s">
        <v>936</v>
      </c>
      <c r="C22" s="8" t="s">
        <v>944</v>
      </c>
      <c r="D22" s="42">
        <f>Cash_Flow!C12</f>
        <v>118548</v>
      </c>
      <c r="E22" s="42">
        <f>INDEX(tblAnnual[FY2024],MATCH("K_OCF",tblAnnual[Code],0))</f>
        <v>118548</v>
      </c>
      <c r="F22" s="42">
        <f t="shared" si="0"/>
        <v>0</v>
      </c>
      <c r="G22" s="43">
        <v>0.5</v>
      </c>
      <c r="H22" s="44" t="str">
        <f t="shared" si="1"/>
        <v>PASS</v>
      </c>
      <c r="I22" s="2" t="s">
        <v>938</v>
      </c>
    </row>
    <row r="23" spans="1:9" x14ac:dyDescent="0.2">
      <c r="A23" s="4" t="s">
        <v>945</v>
      </c>
      <c r="B23" s="8" t="s">
        <v>936</v>
      </c>
      <c r="C23" s="8" t="s">
        <v>946</v>
      </c>
      <c r="D23" s="42">
        <f>-Capex_and_Depreciation!C8</f>
        <v>-44477</v>
      </c>
      <c r="E23" s="42">
        <f>INDEX(tblAnnual[FY2024],MATCH("K_CAPEX_CASH",tblAnnual[Code],0))</f>
        <v>-44477</v>
      </c>
      <c r="F23" s="42">
        <f t="shared" si="0"/>
        <v>0</v>
      </c>
      <c r="G23" s="43">
        <v>0.5</v>
      </c>
      <c r="H23" s="44" t="str">
        <f t="shared" si="1"/>
        <v>PASS</v>
      </c>
      <c r="I23" s="2" t="s">
        <v>938</v>
      </c>
    </row>
    <row r="24" spans="1:9" x14ac:dyDescent="0.2">
      <c r="A24" s="4" t="s">
        <v>947</v>
      </c>
      <c r="B24" s="8" t="s">
        <v>936</v>
      </c>
      <c r="C24" s="8" t="s">
        <v>948</v>
      </c>
      <c r="D24" s="42">
        <f>Revenue_Forecast!D11</f>
        <v>281724</v>
      </c>
      <c r="E24" s="42">
        <f>INDEX(tblAnnual[FY2025],MATCH("K_REVENUE",tblAnnual[Code],0))</f>
        <v>281724</v>
      </c>
      <c r="F24" s="42">
        <f t="shared" si="0"/>
        <v>0</v>
      </c>
      <c r="G24" s="43">
        <v>0.5</v>
      </c>
      <c r="H24" s="44" t="str">
        <f t="shared" si="1"/>
        <v>PASS</v>
      </c>
      <c r="I24" s="2" t="s">
        <v>938</v>
      </c>
    </row>
    <row r="25" spans="1:9" x14ac:dyDescent="0.2">
      <c r="A25" s="4" t="s">
        <v>949</v>
      </c>
      <c r="B25" s="8" t="s">
        <v>936</v>
      </c>
      <c r="C25" s="8" t="s">
        <v>950</v>
      </c>
      <c r="D25" s="42">
        <f>Operating_Forecast!D18</f>
        <v>128528</v>
      </c>
      <c r="E25" s="42">
        <f>INDEX(tblAnnual[FY2025],MATCH("K_OP_INCOME",tblAnnual[Code],0))</f>
        <v>128528</v>
      </c>
      <c r="F25" s="42">
        <f t="shared" si="0"/>
        <v>0</v>
      </c>
      <c r="G25" s="43">
        <v>0.5</v>
      </c>
      <c r="H25" s="44" t="str">
        <f t="shared" si="1"/>
        <v>PASS</v>
      </c>
      <c r="I25" s="2" t="s">
        <v>938</v>
      </c>
    </row>
    <row r="26" spans="1:9" x14ac:dyDescent="0.2">
      <c r="A26" s="4" t="s">
        <v>951</v>
      </c>
      <c r="B26" s="8" t="s">
        <v>936</v>
      </c>
      <c r="C26" s="8" t="s">
        <v>952</v>
      </c>
      <c r="D26" s="42">
        <f>Operating_Forecast!D23</f>
        <v>101832</v>
      </c>
      <c r="E26" s="42">
        <f>INDEX(tblAnnual[FY2025],MATCH("K_NET_INCOME",tblAnnual[Code],0))</f>
        <v>101832</v>
      </c>
      <c r="F26" s="42">
        <f t="shared" si="0"/>
        <v>0</v>
      </c>
      <c r="G26" s="43">
        <v>0.5</v>
      </c>
      <c r="H26" s="44" t="str">
        <f t="shared" si="1"/>
        <v>PASS</v>
      </c>
      <c r="I26" s="2" t="s">
        <v>938</v>
      </c>
    </row>
    <row r="27" spans="1:9" x14ac:dyDescent="0.2">
      <c r="A27" s="4" t="s">
        <v>953</v>
      </c>
      <c r="B27" s="8" t="s">
        <v>936</v>
      </c>
      <c r="C27" s="8" t="s">
        <v>954</v>
      </c>
      <c r="D27" s="42">
        <f>Cash_Flow!D12</f>
        <v>136162</v>
      </c>
      <c r="E27" s="42">
        <f>INDEX(tblAnnual[FY2025],MATCH("K_OCF",tblAnnual[Code],0))</f>
        <v>136162</v>
      </c>
      <c r="F27" s="42">
        <f t="shared" si="0"/>
        <v>0</v>
      </c>
      <c r="G27" s="43">
        <v>0.5</v>
      </c>
      <c r="H27" s="44" t="str">
        <f t="shared" si="1"/>
        <v>PASS</v>
      </c>
      <c r="I27" s="2" t="s">
        <v>938</v>
      </c>
    </row>
    <row r="28" spans="1:9" x14ac:dyDescent="0.2">
      <c r="A28" s="4" t="s">
        <v>955</v>
      </c>
      <c r="B28" s="8" t="s">
        <v>936</v>
      </c>
      <c r="C28" s="8" t="s">
        <v>956</v>
      </c>
      <c r="D28" s="42">
        <f>-Capex_and_Depreciation!D8</f>
        <v>-64551</v>
      </c>
      <c r="E28" s="42">
        <f>INDEX(tblAnnual[FY2025],MATCH("K_CAPEX_CASH",tblAnnual[Code],0))</f>
        <v>-64551</v>
      </c>
      <c r="F28" s="42">
        <f t="shared" si="0"/>
        <v>0</v>
      </c>
      <c r="G28" s="43">
        <v>0.5</v>
      </c>
      <c r="H28" s="44" t="str">
        <f t="shared" si="1"/>
        <v>PASS</v>
      </c>
      <c r="I28" s="2" t="s">
        <v>938</v>
      </c>
    </row>
    <row r="29" spans="1:9" x14ac:dyDescent="0.2">
      <c r="A29" s="4" t="s">
        <v>957</v>
      </c>
      <c r="B29" s="8" t="s">
        <v>936</v>
      </c>
      <c r="C29" s="8" t="s">
        <v>958</v>
      </c>
      <c r="D29" s="42">
        <f>Revenue_Forecast!E11</f>
        <v>331839</v>
      </c>
      <c r="E29" s="42">
        <f>INDEX(tblAnnual[FY2026],MATCH("K_REVENUE",tblAnnual[Code],0))</f>
        <v>331839</v>
      </c>
      <c r="F29" s="42">
        <f t="shared" si="0"/>
        <v>0</v>
      </c>
      <c r="G29" s="43">
        <v>0.5</v>
      </c>
      <c r="H29" s="44" t="str">
        <f t="shared" si="1"/>
        <v>PASS</v>
      </c>
      <c r="I29" s="2" t="s">
        <v>938</v>
      </c>
    </row>
    <row r="30" spans="1:9" x14ac:dyDescent="0.2">
      <c r="A30" s="4" t="s">
        <v>959</v>
      </c>
      <c r="B30" s="8" t="s">
        <v>936</v>
      </c>
      <c r="C30" s="8" t="s">
        <v>960</v>
      </c>
      <c r="D30" s="42">
        <f>Operating_Forecast!E18</f>
        <v>155237</v>
      </c>
      <c r="E30" s="42">
        <f>INDEX(tblAnnual[FY2026],MATCH("K_OP_INCOME",tblAnnual[Code],0))</f>
        <v>155237</v>
      </c>
      <c r="F30" s="42">
        <f t="shared" si="0"/>
        <v>0</v>
      </c>
      <c r="G30" s="43">
        <v>0.5</v>
      </c>
      <c r="H30" s="44" t="str">
        <f t="shared" si="1"/>
        <v>PASS</v>
      </c>
      <c r="I30" s="2" t="s">
        <v>938</v>
      </c>
    </row>
    <row r="31" spans="1:9" x14ac:dyDescent="0.2">
      <c r="A31" s="4" t="s">
        <v>961</v>
      </c>
      <c r="B31" s="8" t="s">
        <v>936</v>
      </c>
      <c r="C31" s="8" t="s">
        <v>962</v>
      </c>
      <c r="D31" s="42">
        <f>Operating_Forecast!E23</f>
        <v>133749</v>
      </c>
      <c r="E31" s="42">
        <f>INDEX(tblAnnual[FY2026],MATCH("K_NET_INCOME",tblAnnual[Code],0))</f>
        <v>133749</v>
      </c>
      <c r="F31" s="42">
        <f t="shared" si="0"/>
        <v>0</v>
      </c>
      <c r="G31" s="43">
        <v>0.5</v>
      </c>
      <c r="H31" s="44" t="str">
        <f t="shared" si="1"/>
        <v>PASS</v>
      </c>
      <c r="I31" s="2" t="s">
        <v>938</v>
      </c>
    </row>
    <row r="32" spans="1:9" x14ac:dyDescent="0.2">
      <c r="A32" s="4" t="s">
        <v>963</v>
      </c>
      <c r="B32" s="8" t="s">
        <v>936</v>
      </c>
      <c r="C32" s="8" t="s">
        <v>964</v>
      </c>
      <c r="D32" s="42">
        <f>Cash_Flow!E12</f>
        <v>182935</v>
      </c>
      <c r="E32" s="42">
        <f>INDEX(tblAnnual[FY2026],MATCH("K_OCF",tblAnnual[Code],0))</f>
        <v>182935</v>
      </c>
      <c r="F32" s="42">
        <f t="shared" si="0"/>
        <v>0</v>
      </c>
      <c r="G32" s="43">
        <v>0.5</v>
      </c>
      <c r="H32" s="44" t="str">
        <f t="shared" si="1"/>
        <v>PASS</v>
      </c>
      <c r="I32" s="2" t="s">
        <v>938</v>
      </c>
    </row>
    <row r="33" spans="1:9" x14ac:dyDescent="0.2">
      <c r="A33" s="4" t="s">
        <v>965</v>
      </c>
      <c r="B33" s="8" t="s">
        <v>936</v>
      </c>
      <c r="C33" s="8" t="s">
        <v>966</v>
      </c>
      <c r="D33" s="42">
        <f>-Capex_and_Depreciation!E8</f>
        <v>-115948</v>
      </c>
      <c r="E33" s="42">
        <f>INDEX(tblAnnual[FY2026],MATCH("K_CAPEX_CASH",tblAnnual[Code],0))</f>
        <v>-115948</v>
      </c>
      <c r="F33" s="42">
        <f t="shared" si="0"/>
        <v>0</v>
      </c>
      <c r="G33" s="43">
        <v>0.5</v>
      </c>
      <c r="H33" s="44" t="str">
        <f t="shared" si="1"/>
        <v>PASS</v>
      </c>
      <c r="I33" s="2" t="s">
        <v>938</v>
      </c>
    </row>
    <row r="34" spans="1:9" x14ac:dyDescent="0.2">
      <c r="A34" s="4" t="s">
        <v>967</v>
      </c>
      <c r="B34" s="8" t="s">
        <v>936</v>
      </c>
      <c r="C34" s="8" t="s">
        <v>968</v>
      </c>
      <c r="D34" s="42">
        <f>Capex_and_Depreciation!E22</f>
        <v>431767</v>
      </c>
      <c r="E34" s="42">
        <f>INDEX(tblAnnual[FY2026],MATCH("PPE_TOTAL_COST",tblAnnual[Code],0))</f>
        <v>431767</v>
      </c>
      <c r="F34" s="42">
        <f t="shared" si="0"/>
        <v>0</v>
      </c>
      <c r="G34" s="43">
        <v>0.5</v>
      </c>
      <c r="H34" s="44" t="str">
        <f t="shared" si="1"/>
        <v>PASS</v>
      </c>
      <c r="I34" s="2"/>
    </row>
    <row r="35" spans="1:9" x14ac:dyDescent="0.2">
      <c r="A35" s="4" t="s">
        <v>969</v>
      </c>
      <c r="B35" s="8" t="s">
        <v>936</v>
      </c>
      <c r="C35" s="8" t="s">
        <v>970</v>
      </c>
      <c r="D35" s="42">
        <f>INDEX(tblAnnual[FY2026],MATCH("PPE_LAND",tblAnnual[Code],0))+INDEX(tblAnnual[FY2026],MATCH("PPE_BUILDINGS",tblAnnual[Code],0))+INDEX(tblAnnual[FY2026],MATCH("PPE_LEASEHOLD",tblAnnual[Code],0))+INDEX(tblAnnual[FY2026],MATCH("PPE_SERVERS",tblAnnual[Code],0))+INDEX(tblAnnual[FY2026],MATCH("PPE_FURNITURE",tblAnnual[Code],0))</f>
        <v>431767</v>
      </c>
      <c r="E35" s="42">
        <f>INDEX(tblAnnual[FY2026],MATCH("PPE_TOTAL_COST",tblAnnual[Code],0))</f>
        <v>431767</v>
      </c>
      <c r="F35" s="42">
        <f t="shared" si="0"/>
        <v>0</v>
      </c>
      <c r="G35" s="43">
        <v>0.5</v>
      </c>
      <c r="H35" s="44" t="str">
        <f t="shared" si="1"/>
        <v>PASS</v>
      </c>
      <c r="I35" s="2"/>
    </row>
    <row r="36" spans="1:9" x14ac:dyDescent="0.2">
      <c r="A36" s="4" t="s">
        <v>971</v>
      </c>
      <c r="B36" s="8" t="s">
        <v>936</v>
      </c>
      <c r="C36" s="8" t="s">
        <v>972</v>
      </c>
      <c r="D36" s="42">
        <f>IF(INDEX(tblAnnual[FY2026],MATCH("DEP_PPE",tblAnnual[Code],0))&lt;=INDEX(tblAnnual[FY2026],MATCH("DA_CF",tblAnnual[Code],0)),1,0)</f>
        <v>1</v>
      </c>
      <c r="E36" s="42">
        <v>1</v>
      </c>
      <c r="F36" s="42">
        <f t="shared" si="0"/>
        <v>0</v>
      </c>
      <c r="G36" s="43">
        <v>0</v>
      </c>
      <c r="H36" s="44" t="str">
        <f t="shared" si="1"/>
        <v>PASS</v>
      </c>
      <c r="I36" s="2"/>
    </row>
    <row r="37" spans="1:9" x14ac:dyDescent="0.2">
      <c r="A37" s="4" t="s">
        <v>973</v>
      </c>
      <c r="B37" s="8" t="s">
        <v>974</v>
      </c>
      <c r="C37" s="8" t="s">
        <v>975</v>
      </c>
      <c r="D37" s="42">
        <f>Cash_Flow!N35</f>
        <v>19639</v>
      </c>
      <c r="E37" s="42">
        <f>INDEX(tblCall[Value],MATCH("D04",tblCall[ID],0))</f>
        <v>19600</v>
      </c>
      <c r="F37" s="42">
        <f t="shared" si="0"/>
        <v>39</v>
      </c>
      <c r="G37" s="43">
        <v>50</v>
      </c>
      <c r="H37" s="44" t="str">
        <f t="shared" si="1"/>
        <v>PASS</v>
      </c>
      <c r="I37" s="2" t="s">
        <v>976</v>
      </c>
    </row>
    <row r="38" spans="1:9" x14ac:dyDescent="0.2">
      <c r="A38" s="4" t="s">
        <v>977</v>
      </c>
      <c r="B38" s="8" t="s">
        <v>974</v>
      </c>
      <c r="C38" s="8" t="s">
        <v>978</v>
      </c>
      <c r="D38" s="42">
        <f>-INDEX(tblQ[Q4 FY26],MATCH("CAPEX_CASH",tblQ[Code],0))</f>
        <v>35802</v>
      </c>
      <c r="E38" s="42">
        <f>INDEX(tblCall[Value],MATCH("D03",tblCall[ID],0))</f>
        <v>35800</v>
      </c>
      <c r="F38" s="42">
        <f t="shared" si="0"/>
        <v>2</v>
      </c>
      <c r="G38" s="43">
        <v>50</v>
      </c>
      <c r="H38" s="44" t="str">
        <f t="shared" si="1"/>
        <v>PASS</v>
      </c>
      <c r="I38" s="2" t="s">
        <v>976</v>
      </c>
    </row>
    <row r="39" spans="1:9" x14ac:dyDescent="0.2">
      <c r="A39" s="4" t="s">
        <v>979</v>
      </c>
      <c r="B39" s="8" t="s">
        <v>974</v>
      </c>
      <c r="C39" s="8" t="s">
        <v>980</v>
      </c>
      <c r="D39" s="42">
        <f>-INDEX(tblQ[Q4 FY26],MATCH("CAPEX_CASH",tblQ[Code],0))+INDEX(tblCall[Value],MATCH("D02",tblCall[ID],0))</f>
        <v>41402</v>
      </c>
      <c r="E39" s="42">
        <f>INDEX(tblQ[Q4 FY26],MATCH("CAPEX_INCL_FL_BN",tblQ[Code],0))*1000</f>
        <v>41000</v>
      </c>
      <c r="F39" s="42">
        <f t="shared" ref="F39:F70" si="3">D39-E39</f>
        <v>402</v>
      </c>
      <c r="G39" s="43">
        <v>500</v>
      </c>
      <c r="H39" s="44" t="str">
        <f t="shared" ref="H39:H70" si="4">IF(G39="info","INFO",IFERROR(IF(ABS(F39)&lt;=G39,"PASS","FAIL"),"FAIL"))</f>
        <v>PASS</v>
      </c>
      <c r="I39" s="2" t="s">
        <v>981</v>
      </c>
    </row>
    <row r="40" spans="1:9" x14ac:dyDescent="0.2">
      <c r="A40" s="4" t="s">
        <v>982</v>
      </c>
      <c r="B40" s="8" t="s">
        <v>983</v>
      </c>
      <c r="C40" s="8" t="s">
        <v>984</v>
      </c>
      <c r="D40" s="42">
        <f>Capex_and_Depreciation!C10</f>
        <v>56110</v>
      </c>
      <c r="E40" s="42">
        <f>Capex_and_Depreciation!C11</f>
        <v>55700</v>
      </c>
      <c r="F40" s="42">
        <f t="shared" si="3"/>
        <v>410</v>
      </c>
      <c r="G40" s="43" t="s">
        <v>985</v>
      </c>
      <c r="H40" s="44" t="str">
        <f t="shared" si="4"/>
        <v>INFO</v>
      </c>
      <c r="I40" s="2" t="s">
        <v>986</v>
      </c>
    </row>
    <row r="41" spans="1:9" x14ac:dyDescent="0.2">
      <c r="A41" s="4" t="s">
        <v>987</v>
      </c>
      <c r="B41" s="8" t="s">
        <v>983</v>
      </c>
      <c r="C41" s="8" t="s">
        <v>988</v>
      </c>
      <c r="D41" s="42">
        <f>Capex_and_Depreciation!D10</f>
        <v>85062</v>
      </c>
      <c r="E41" s="42">
        <f>Capex_and_Depreciation!D11</f>
        <v>88200</v>
      </c>
      <c r="F41" s="42">
        <f t="shared" si="3"/>
        <v>-3138</v>
      </c>
      <c r="G41" s="43" t="s">
        <v>985</v>
      </c>
      <c r="H41" s="44" t="str">
        <f t="shared" si="4"/>
        <v>INFO</v>
      </c>
      <c r="I41" s="2" t="s">
        <v>986</v>
      </c>
    </row>
    <row r="42" spans="1:9" x14ac:dyDescent="0.2">
      <c r="A42" s="4" t="s">
        <v>989</v>
      </c>
      <c r="B42" s="8" t="s">
        <v>983</v>
      </c>
      <c r="C42" s="8" t="s">
        <v>990</v>
      </c>
      <c r="D42" s="42">
        <f>Capex_and_Depreciation!E10</f>
        <v>140556</v>
      </c>
      <c r="E42" s="42">
        <f>Capex_and_Depreciation!E11</f>
        <v>145300</v>
      </c>
      <c r="F42" s="42">
        <f t="shared" si="3"/>
        <v>-4744</v>
      </c>
      <c r="G42" s="43" t="s">
        <v>985</v>
      </c>
      <c r="H42" s="44" t="str">
        <f t="shared" si="4"/>
        <v>INFO</v>
      </c>
      <c r="I42" s="2" t="s">
        <v>986</v>
      </c>
    </row>
    <row r="43" spans="1:9" x14ac:dyDescent="0.2">
      <c r="A43" s="4" t="s">
        <v>991</v>
      </c>
      <c r="B43" s="8" t="s">
        <v>992</v>
      </c>
      <c r="C43" s="8" t="s">
        <v>993</v>
      </c>
      <c r="D43" s="42">
        <f>Revenue_Forecast!F11</f>
        <v>386467.00000000006</v>
      </c>
      <c r="E43" s="42">
        <f>CHOOSE(Assumptions!$D$4,Scenarios!$C$11,Scenarios!$D$11,Scenarios!$E$11)</f>
        <v>386467.00000000006</v>
      </c>
      <c r="F43" s="42">
        <f t="shared" si="3"/>
        <v>0</v>
      </c>
      <c r="G43" s="43">
        <v>1E-3</v>
      </c>
      <c r="H43" s="44" t="str">
        <f t="shared" si="4"/>
        <v>PASS</v>
      </c>
      <c r="I43" s="2"/>
    </row>
    <row r="44" spans="1:9" x14ac:dyDescent="0.2">
      <c r="A44" s="4" t="s">
        <v>994</v>
      </c>
      <c r="B44" s="8" t="s">
        <v>992</v>
      </c>
      <c r="C44" s="8" t="s">
        <v>995</v>
      </c>
      <c r="D44" s="42">
        <f>Operating_Forecast!F18</f>
        <v>177032.61498097004</v>
      </c>
      <c r="E44" s="42">
        <f>CHOOSE(Assumptions!$D$4,Scenarios!$C$19,Scenarios!$D$19,Scenarios!$E$19)</f>
        <v>177032.61498097004</v>
      </c>
      <c r="F44" s="42">
        <f t="shared" si="3"/>
        <v>0</v>
      </c>
      <c r="G44" s="43">
        <v>1E-3</v>
      </c>
      <c r="H44" s="44" t="str">
        <f t="shared" si="4"/>
        <v>PASS</v>
      </c>
      <c r="I44" s="2"/>
    </row>
    <row r="45" spans="1:9" x14ac:dyDescent="0.2">
      <c r="A45" s="4" t="s">
        <v>996</v>
      </c>
      <c r="B45" s="8" t="s">
        <v>992</v>
      </c>
      <c r="C45" s="8" t="s">
        <v>997</v>
      </c>
      <c r="D45" s="42">
        <f>Capex_and_Depreciation!F27</f>
        <v>55282.468509999999</v>
      </c>
      <c r="E45" s="42">
        <f>CHOOSE(Assumptions!$D$4,Scenarios!$C$14,Scenarios!$D$14,Scenarios!$E$14)</f>
        <v>55282.468509999999</v>
      </c>
      <c r="F45" s="42">
        <f t="shared" si="3"/>
        <v>0</v>
      </c>
      <c r="G45" s="43">
        <v>1E-3</v>
      </c>
      <c r="H45" s="44" t="str">
        <f t="shared" si="4"/>
        <v>PASS</v>
      </c>
      <c r="I45" s="2"/>
    </row>
    <row r="46" spans="1:9" x14ac:dyDescent="0.2">
      <c r="A46" s="4" t="s">
        <v>998</v>
      </c>
      <c r="B46" s="8" t="s">
        <v>992</v>
      </c>
      <c r="C46" s="8" t="s">
        <v>999</v>
      </c>
      <c r="D46" s="42">
        <f>Cash_Flow!F14</f>
        <v>23023.169494776026</v>
      </c>
      <c r="E46" s="42">
        <f>CHOOSE(Assumptions!$D$4,Scenarios!$C$39,Scenarios!$D$39,Scenarios!$E$39)</f>
        <v>23023.169494776026</v>
      </c>
      <c r="F46" s="42">
        <f t="shared" si="3"/>
        <v>0</v>
      </c>
      <c r="G46" s="43">
        <v>1E-3</v>
      </c>
      <c r="H46" s="44" t="str">
        <f t="shared" si="4"/>
        <v>PASS</v>
      </c>
      <c r="I46" s="2"/>
    </row>
    <row r="47" spans="1:9" x14ac:dyDescent="0.2">
      <c r="A47" s="4" t="s">
        <v>1000</v>
      </c>
      <c r="B47" s="8" t="s">
        <v>992</v>
      </c>
      <c r="C47" s="8" t="s">
        <v>1001</v>
      </c>
      <c r="D47" s="42">
        <f>Cash_Flow!F19</f>
        <v>-29976.830505223974</v>
      </c>
      <c r="E47" s="42">
        <f>CHOOSE(Assumptions!$D$4,Scenarios!$C$45,Scenarios!$D$45,Scenarios!$E$45)</f>
        <v>-29976.830505223974</v>
      </c>
      <c r="F47" s="42">
        <f t="shared" si="3"/>
        <v>0</v>
      </c>
      <c r="G47" s="43">
        <v>1E-3</v>
      </c>
      <c r="H47" s="44" t="str">
        <f t="shared" si="4"/>
        <v>PASS</v>
      </c>
      <c r="I47" s="2"/>
    </row>
    <row r="48" spans="1:9" x14ac:dyDescent="0.2">
      <c r="A48" s="4" t="s">
        <v>1002</v>
      </c>
      <c r="B48" s="8" t="s">
        <v>992</v>
      </c>
      <c r="C48" s="8" t="s">
        <v>1003</v>
      </c>
      <c r="D48" s="42">
        <f>Cash_Flow!F14</f>
        <v>23023.169494776026</v>
      </c>
      <c r="E48" s="42">
        <f>Cash_Flow!F12-Capex_and_Depreciation!F8</f>
        <v>23023.169494776026</v>
      </c>
      <c r="F48" s="42">
        <f t="shared" si="3"/>
        <v>0</v>
      </c>
      <c r="G48" s="43">
        <v>1E-3</v>
      </c>
      <c r="H48" s="44" t="str">
        <f t="shared" si="4"/>
        <v>PASS</v>
      </c>
      <c r="I48" s="2"/>
    </row>
    <row r="49" spans="1:9" x14ac:dyDescent="0.2">
      <c r="A49" s="4" t="s">
        <v>1004</v>
      </c>
      <c r="B49" s="8" t="s">
        <v>992</v>
      </c>
      <c r="C49" s="8" t="s">
        <v>1005</v>
      </c>
      <c r="D49" s="42">
        <f>Capex_and_Depreciation!F30</f>
        <v>457793.53148999996</v>
      </c>
      <c r="E49" s="42">
        <f>Capex_and_Depreciation!F22-Capex_and_Depreciation!F29</f>
        <v>457793.53148999996</v>
      </c>
      <c r="F49" s="42">
        <f t="shared" si="3"/>
        <v>0</v>
      </c>
      <c r="G49" s="43">
        <v>1E-3</v>
      </c>
      <c r="H49" s="44" t="str">
        <f t="shared" si="4"/>
        <v>PASS</v>
      </c>
      <c r="I49" s="2"/>
    </row>
    <row r="50" spans="1:9" x14ac:dyDescent="0.2">
      <c r="A50" s="4" t="s">
        <v>1006</v>
      </c>
      <c r="B50" s="8" t="s">
        <v>992</v>
      </c>
      <c r="C50" s="8" t="s">
        <v>1007</v>
      </c>
      <c r="D50" s="42">
        <f>Operating_Forecast!F11</f>
        <v>134290.42501902999</v>
      </c>
      <c r="E50" s="42">
        <f>Operating_Forecast!F9+Operating_Forecast!F10</f>
        <v>134290.42501902999</v>
      </c>
      <c r="F50" s="42">
        <f t="shared" si="3"/>
        <v>0</v>
      </c>
      <c r="G50" s="43">
        <v>1E-3</v>
      </c>
      <c r="H50" s="44" t="str">
        <f t="shared" si="4"/>
        <v>PASS</v>
      </c>
      <c r="I50" s="2"/>
    </row>
    <row r="51" spans="1:9" x14ac:dyDescent="0.2">
      <c r="A51" s="4" t="s">
        <v>1008</v>
      </c>
      <c r="B51" s="8" t="s">
        <v>992</v>
      </c>
      <c r="C51" s="8" t="s">
        <v>1009</v>
      </c>
      <c r="D51" s="42">
        <f>IF(AND(Scenarios!$E$19&lt;=Scenarios!$C$19,Scenarios!$C$19&lt;=Scenarios!$D$19),0,1)</f>
        <v>0</v>
      </c>
      <c r="E51" s="42">
        <v>0</v>
      </c>
      <c r="F51" s="42">
        <f t="shared" si="3"/>
        <v>0</v>
      </c>
      <c r="G51" s="43">
        <v>0</v>
      </c>
      <c r="H51" s="44" t="str">
        <f t="shared" si="4"/>
        <v>PASS</v>
      </c>
      <c r="I51" s="2"/>
    </row>
    <row r="52" spans="1:9" x14ac:dyDescent="0.2">
      <c r="A52" s="4" t="s">
        <v>1010</v>
      </c>
      <c r="B52" s="8" t="s">
        <v>992</v>
      </c>
      <c r="C52" s="8" t="s">
        <v>1011</v>
      </c>
      <c r="D52" s="42">
        <f>IF(AND(Scenarios!$E$39&lt;=Scenarios!$C$39,Scenarios!$C$39&lt;=Scenarios!$D$39),0,1)</f>
        <v>0</v>
      </c>
      <c r="E52" s="42">
        <v>0</v>
      </c>
      <c r="F52" s="42">
        <f t="shared" si="3"/>
        <v>0</v>
      </c>
      <c r="G52" s="43">
        <v>0</v>
      </c>
      <c r="H52" s="44" t="str">
        <f t="shared" si="4"/>
        <v>PASS</v>
      </c>
      <c r="I52" s="2"/>
    </row>
    <row r="53" spans="1:9" x14ac:dyDescent="0.2">
      <c r="A53" s="4" t="s">
        <v>1012</v>
      </c>
      <c r="B53" s="8" t="s">
        <v>992</v>
      </c>
      <c r="C53" s="8" t="s">
        <v>1013</v>
      </c>
      <c r="D53" s="42">
        <f>Scenarios!E64</f>
        <v>23023.169494776026</v>
      </c>
      <c r="E53" s="42">
        <f>Cash_Flow!F14</f>
        <v>23023.169494776026</v>
      </c>
      <c r="F53" s="42">
        <f t="shared" si="3"/>
        <v>0</v>
      </c>
      <c r="G53" s="43">
        <v>1E-3</v>
      </c>
      <c r="H53" s="44" t="str">
        <f t="shared" si="4"/>
        <v>PASS</v>
      </c>
      <c r="I53" s="2" t="s">
        <v>1014</v>
      </c>
    </row>
    <row r="54" spans="1:9" x14ac:dyDescent="0.2">
      <c r="A54" s="4" t="s">
        <v>1015</v>
      </c>
      <c r="B54" s="8" t="s">
        <v>992</v>
      </c>
      <c r="C54" s="8" t="s">
        <v>1016</v>
      </c>
      <c r="D54" s="42">
        <f>Scenarios!E73</f>
        <v>0.45807951256115015</v>
      </c>
      <c r="E54" s="42">
        <f>Operating_Forecast!F19</f>
        <v>0.45807951256115015</v>
      </c>
      <c r="F54" s="42">
        <f t="shared" si="3"/>
        <v>0</v>
      </c>
      <c r="G54" s="43">
        <v>9.9999999999999995E-8</v>
      </c>
      <c r="H54" s="44" t="str">
        <f t="shared" si="4"/>
        <v>PASS</v>
      </c>
      <c r="I54" s="2" t="s">
        <v>1017</v>
      </c>
    </row>
    <row r="55" spans="1:9" x14ac:dyDescent="0.2">
      <c r="A55" s="4" t="s">
        <v>1018</v>
      </c>
      <c r="B55" s="8" t="s">
        <v>992</v>
      </c>
      <c r="C55" s="8" t="s">
        <v>1019</v>
      </c>
      <c r="D55" s="42">
        <f>IF(ISNUMBER(Assumptions!D4),1,0)</f>
        <v>1</v>
      </c>
      <c r="E55" s="42">
        <v>1</v>
      </c>
      <c r="F55" s="42">
        <f t="shared" si="3"/>
        <v>0</v>
      </c>
      <c r="G55" s="43">
        <v>0</v>
      </c>
      <c r="H55" s="44" t="str">
        <f t="shared" si="4"/>
        <v>PASS</v>
      </c>
      <c r="I55" s="2"/>
    </row>
    <row r="56" spans="1:9" x14ac:dyDescent="0.2">
      <c r="A56" s="4" t="s">
        <v>1020</v>
      </c>
      <c r="B56" s="8" t="s">
        <v>992</v>
      </c>
      <c r="C56" s="8" t="s">
        <v>1021</v>
      </c>
      <c r="D56" s="42">
        <f>COUNTIF(Assumptions!D8:F8,"&lt;-0.5")+COUNTIF(Assumptions!D8:F8,"&gt;1")+COUNTIF(Assumptions!D9:F9,"&lt;-0.5")+COUNTIF(Assumptions!D9:F9,"&gt;1")+COUNTIF(Assumptions!D10:F10,"&lt;-0.5")+COUNTIF(Assumptions!D10:F10,"&gt;1")+COUNTIF(Assumptions!D11:F11,"&lt;-0.5")+COUNTIF(Assumptions!D11:F11,"&gt;1")+COUNTIF(Assumptions!D12:F12,"&lt;-0.5")+COUNTIF(Assumptions!D12:F12,"&gt;1")+COUNTIF(Assumptions!D15:F15,"&lt;-0.5")+COUNTIF(Assumptions!D15:F15,"&gt;1")+COUNTIF(Assumptions!D16:F16,"&lt;-0.5")+COUNTIF(Assumptions!D16:F16,"&gt;1")+COUNTIF(Assumptions!D19:F19,"&lt;-0.5")+COUNTIF(Assumptions!D19:F19,"&gt;1")+COUNTIF(Assumptions!D20:F20,"&lt;-0.5")+COUNTIF(Assumptions!D20:F20,"&gt;1")+COUNTIF(Assumptions!D21:F21,"&lt;-0.5")+COUNTIF(Assumptions!D21:F21,"&gt;1")</f>
        <v>0</v>
      </c>
      <c r="E56" s="42">
        <v>0</v>
      </c>
      <c r="F56" s="42">
        <f t="shared" si="3"/>
        <v>0</v>
      </c>
      <c r="G56" s="43">
        <v>0</v>
      </c>
      <c r="H56" s="44" t="str">
        <f t="shared" si="4"/>
        <v>PASS</v>
      </c>
      <c r="I56" s="2"/>
    </row>
    <row r="57" spans="1:9" x14ac:dyDescent="0.2">
      <c r="A57" s="4" t="s">
        <v>1022</v>
      </c>
      <c r="B57" s="8" t="s">
        <v>1023</v>
      </c>
      <c r="C57" s="8" t="s">
        <v>1024</v>
      </c>
      <c r="D57" s="42">
        <f>Capex_and_Depreciation!M50</f>
        <v>13400.000000000002</v>
      </c>
      <c r="E57" s="42">
        <f>Assumptions!$D$29*Assumptions!$D$30</f>
        <v>13400</v>
      </c>
      <c r="F57" s="42">
        <f t="shared" si="3"/>
        <v>0</v>
      </c>
      <c r="G57" s="43">
        <v>0.01</v>
      </c>
      <c r="H57" s="44" t="str">
        <f t="shared" si="4"/>
        <v>PASS</v>
      </c>
      <c r="I57" s="2" t="s">
        <v>1025</v>
      </c>
    </row>
    <row r="58" spans="1:9" x14ac:dyDescent="0.2">
      <c r="A58" s="4" t="s">
        <v>1026</v>
      </c>
      <c r="B58" s="8" t="s">
        <v>1023</v>
      </c>
      <c r="C58" s="8" t="s">
        <v>1027</v>
      </c>
      <c r="D58" s="42">
        <f>Capex_and_Depreciation!L53+Capex_and_Depreciation!L54</f>
        <v>20000</v>
      </c>
      <c r="E58" s="42">
        <f>Assumptions!$D$29</f>
        <v>20000</v>
      </c>
      <c r="F58" s="42">
        <f t="shared" si="3"/>
        <v>0</v>
      </c>
      <c r="G58" s="43">
        <v>0.01</v>
      </c>
      <c r="H58" s="44" t="str">
        <f t="shared" si="4"/>
        <v>PASS</v>
      </c>
      <c r="I58" s="2"/>
    </row>
    <row r="59" spans="1:9" x14ac:dyDescent="0.2">
      <c r="A59" s="4" t="s">
        <v>1028</v>
      </c>
      <c r="B59" s="8" t="s">
        <v>1023</v>
      </c>
      <c r="C59" s="8" t="s">
        <v>1029</v>
      </c>
      <c r="D59" s="42">
        <f>IF(Capex_and_Depreciation!C60&lt;0,1,0)</f>
        <v>1</v>
      </c>
      <c r="E59" s="42">
        <v>1</v>
      </c>
      <c r="F59" s="42">
        <f t="shared" si="3"/>
        <v>0</v>
      </c>
      <c r="G59" s="43">
        <v>0</v>
      </c>
      <c r="H59" s="44" t="str">
        <f t="shared" si="4"/>
        <v>PASS</v>
      </c>
      <c r="I59" s="2"/>
    </row>
    <row r="60" spans="1:9" x14ac:dyDescent="0.2">
      <c r="A60" s="4" t="s">
        <v>1030</v>
      </c>
      <c r="B60" s="8" t="s">
        <v>1031</v>
      </c>
      <c r="C60" s="8" t="s">
        <v>1032</v>
      </c>
      <c r="D60" s="42">
        <f>SUMPRODUCT(--ISERROR(Segment_Analysis!A1:J49))</f>
        <v>0</v>
      </c>
      <c r="E60" s="42">
        <v>0</v>
      </c>
      <c r="F60" s="42">
        <f t="shared" si="3"/>
        <v>0</v>
      </c>
      <c r="G60" s="43">
        <v>0</v>
      </c>
      <c r="H60" s="44" t="str">
        <f t="shared" si="4"/>
        <v>PASS</v>
      </c>
      <c r="I60" s="2"/>
    </row>
    <row r="61" spans="1:9" x14ac:dyDescent="0.2">
      <c r="A61" s="4" t="s">
        <v>1033</v>
      </c>
      <c r="B61" s="8" t="s">
        <v>1031</v>
      </c>
      <c r="C61" s="8" t="s">
        <v>1034</v>
      </c>
      <c r="D61" s="42">
        <f>SUMPRODUCT(--ISERROR(Revenue_Forecast!A1:I30))+SUMPRODUCT(--ISERROR(Operating_Forecast!A1:I45))</f>
        <v>0</v>
      </c>
      <c r="E61" s="42">
        <v>0</v>
      </c>
      <c r="F61" s="42">
        <f t="shared" si="3"/>
        <v>0</v>
      </c>
      <c r="G61" s="43">
        <v>0</v>
      </c>
      <c r="H61" s="44" t="str">
        <f t="shared" si="4"/>
        <v>PASS</v>
      </c>
      <c r="I61" s="2"/>
    </row>
    <row r="62" spans="1:9" x14ac:dyDescent="0.2">
      <c r="A62" s="4" t="s">
        <v>1035</v>
      </c>
      <c r="B62" s="8" t="s">
        <v>1031</v>
      </c>
      <c r="C62" s="8" t="s">
        <v>1036</v>
      </c>
      <c r="D62" s="42">
        <f>SUMPRODUCT(--ISERROR(Capex_and_Depreciation!A1:M75))+SUMPRODUCT(--ISERROR(Cash_Flow!A1:N44))</f>
        <v>0</v>
      </c>
      <c r="E62" s="42">
        <v>0</v>
      </c>
      <c r="F62" s="42">
        <f t="shared" si="3"/>
        <v>0</v>
      </c>
      <c r="G62" s="43">
        <v>0</v>
      </c>
      <c r="H62" s="44" t="str">
        <f t="shared" si="4"/>
        <v>PASS</v>
      </c>
      <c r="I62" s="2"/>
    </row>
    <row r="63" spans="1:9" x14ac:dyDescent="0.2">
      <c r="A63" s="4" t="s">
        <v>1037</v>
      </c>
      <c r="B63" s="8" t="s">
        <v>1031</v>
      </c>
      <c r="C63" s="8" t="s">
        <v>1038</v>
      </c>
      <c r="D63" s="42">
        <f>SUMPRODUCT(--ISERROR(Scenarios!A1:R97))</f>
        <v>0</v>
      </c>
      <c r="E63" s="42">
        <v>0</v>
      </c>
      <c r="F63" s="42">
        <f t="shared" si="3"/>
        <v>0</v>
      </c>
      <c r="G63" s="43">
        <v>0</v>
      </c>
      <c r="H63" s="44" t="str">
        <f t="shared" si="4"/>
        <v>PASS</v>
      </c>
      <c r="I63" s="2"/>
    </row>
    <row r="64" spans="1:9" x14ac:dyDescent="0.2">
      <c r="A64" s="4" t="s">
        <v>1039</v>
      </c>
      <c r="B64" s="8" t="s">
        <v>1031</v>
      </c>
      <c r="C64" s="8" t="s">
        <v>1040</v>
      </c>
      <c r="D64" s="42">
        <f>SUMPRODUCT(--ISERROR(Dashboard!A5:P120))</f>
        <v>0</v>
      </c>
      <c r="E64" s="42">
        <v>0</v>
      </c>
      <c r="F64" s="42">
        <f t="shared" si="3"/>
        <v>0</v>
      </c>
      <c r="G64" s="43">
        <v>0</v>
      </c>
      <c r="H64" s="44" t="str">
        <f t="shared" si="4"/>
        <v>PASS</v>
      </c>
      <c r="I64" s="2"/>
    </row>
    <row r="69" spans="1:15" x14ac:dyDescent="0.2">
      <c r="A69" s="4" t="s">
        <v>1041</v>
      </c>
    </row>
    <row r="70" spans="1:15" x14ac:dyDescent="0.2">
      <c r="A70" s="7"/>
      <c r="B70" s="7"/>
      <c r="C70" s="7" t="s">
        <v>1042</v>
      </c>
      <c r="D70" s="7" t="s">
        <v>185</v>
      </c>
      <c r="E70" s="7" t="s">
        <v>186</v>
      </c>
      <c r="F70" s="7" t="s">
        <v>187</v>
      </c>
      <c r="G70" s="7" t="s">
        <v>188</v>
      </c>
      <c r="H70" s="7" t="s">
        <v>189</v>
      </c>
      <c r="I70" s="7" t="s">
        <v>190</v>
      </c>
      <c r="J70" s="7" t="s">
        <v>191</v>
      </c>
      <c r="K70" s="7" t="s">
        <v>192</v>
      </c>
      <c r="L70" s="7" t="s">
        <v>193</v>
      </c>
      <c r="M70" s="7" t="s">
        <v>194</v>
      </c>
      <c r="N70" s="7" t="s">
        <v>195</v>
      </c>
      <c r="O70" s="7" t="s">
        <v>196</v>
      </c>
    </row>
    <row r="71" spans="1:15" x14ac:dyDescent="0.2">
      <c r="C71" s="8" t="s">
        <v>233</v>
      </c>
      <c r="D71" s="45">
        <f>Cash_Flow!C38</f>
        <v>0</v>
      </c>
      <c r="E71" s="45">
        <f>Cash_Flow!D38</f>
        <v>0</v>
      </c>
      <c r="F71" s="45">
        <f>Cash_Flow!E38</f>
        <v>0</v>
      </c>
      <c r="G71" s="45">
        <f>Cash_Flow!F38</f>
        <v>0</v>
      </c>
      <c r="H71" s="45">
        <f>Cash_Flow!G38</f>
        <v>0</v>
      </c>
      <c r="I71" s="45">
        <f>Cash_Flow!H38</f>
        <v>0</v>
      </c>
      <c r="J71" s="45">
        <f>Cash_Flow!I38</f>
        <v>0</v>
      </c>
      <c r="K71" s="45">
        <f>Cash_Flow!J38</f>
        <v>0</v>
      </c>
      <c r="L71" s="45">
        <f>Cash_Flow!K38</f>
        <v>0</v>
      </c>
      <c r="M71" s="45">
        <f>Cash_Flow!L38</f>
        <v>0</v>
      </c>
      <c r="N71" s="45">
        <f>Cash_Flow!M38</f>
        <v>0</v>
      </c>
      <c r="O71" s="45">
        <f>Cash_Flow!N38</f>
        <v>0</v>
      </c>
    </row>
    <row r="72" spans="1:15" x14ac:dyDescent="0.2">
      <c r="C72" s="8" t="s">
        <v>832</v>
      </c>
      <c r="D72" s="45">
        <f>Cash_Flow!C41</f>
        <v>0</v>
      </c>
      <c r="E72" s="45">
        <f>Cash_Flow!D41</f>
        <v>0</v>
      </c>
      <c r="F72" s="45">
        <f>Cash_Flow!E41</f>
        <v>0</v>
      </c>
      <c r="G72" s="45">
        <f>Cash_Flow!F41</f>
        <v>0</v>
      </c>
      <c r="H72" s="45">
        <f>Cash_Flow!G41</f>
        <v>0</v>
      </c>
      <c r="I72" s="45">
        <f>Cash_Flow!H41</f>
        <v>0</v>
      </c>
      <c r="J72" s="45">
        <f>Cash_Flow!I41</f>
        <v>0</v>
      </c>
      <c r="K72" s="45">
        <f>Cash_Flow!J41</f>
        <v>0</v>
      </c>
      <c r="L72" s="45">
        <f>Cash_Flow!K41</f>
        <v>0</v>
      </c>
      <c r="M72" s="45">
        <f>Cash_Flow!L41</f>
        <v>0</v>
      </c>
      <c r="N72" s="45">
        <f>Cash_Flow!M41</f>
        <v>0</v>
      </c>
      <c r="O72" s="45">
        <f>Cash_Flow!N41</f>
        <v>0</v>
      </c>
    </row>
    <row r="73" spans="1:15" x14ac:dyDescent="0.2">
      <c r="C73" s="8" t="s">
        <v>227</v>
      </c>
      <c r="D73" s="45">
        <f>SUM(Historical_Financials!E19:E19)-Historical_Financials!E76</f>
        <v>0</v>
      </c>
      <c r="E73" s="45">
        <f>SUM(Historical_Financials!E19:F19)-Historical_Financials!F76</f>
        <v>0</v>
      </c>
      <c r="F73" s="45">
        <f>SUM(Historical_Financials!E19:G19)-Historical_Financials!G76</f>
        <v>0</v>
      </c>
      <c r="G73" s="45">
        <f>SUM(Historical_Financials!E19:H19)-Historical_Financials!H76</f>
        <v>0</v>
      </c>
      <c r="H73" s="45">
        <f>SUM(Historical_Financials!I19:I19)-Historical_Financials!I76</f>
        <v>0</v>
      </c>
      <c r="I73" s="45">
        <f>SUM(Historical_Financials!I19:J19)-Historical_Financials!J76</f>
        <v>0</v>
      </c>
      <c r="J73" s="45">
        <f>SUM(Historical_Financials!I19:K19)-Historical_Financials!K76</f>
        <v>0</v>
      </c>
      <c r="K73" s="45">
        <f>SUM(Historical_Financials!I19:L19)-Historical_Financials!L76</f>
        <v>0</v>
      </c>
      <c r="L73" s="45">
        <f>SUM(Historical_Financials!M19:M19)-Historical_Financials!M76</f>
        <v>0</v>
      </c>
      <c r="M73" s="45">
        <f>SUM(Historical_Financials!M19:N19)-Historical_Financials!N76</f>
        <v>0</v>
      </c>
      <c r="N73" s="45">
        <f>SUM(Historical_Financials!M19:O19)-Historical_Financials!O76</f>
        <v>0</v>
      </c>
      <c r="O73" s="45">
        <f>SUM(Historical_Financials!M19:P19)-Historical_Financials!P76</f>
        <v>0</v>
      </c>
    </row>
    <row r="77" spans="1:15" x14ac:dyDescent="0.2">
      <c r="A77" s="4" t="s">
        <v>1043</v>
      </c>
    </row>
    <row r="78" spans="1:15" x14ac:dyDescent="0.2">
      <c r="A78" s="7"/>
      <c r="B78" s="7"/>
      <c r="C78" s="7" t="s">
        <v>1044</v>
      </c>
      <c r="D78" s="7" t="s">
        <v>185</v>
      </c>
      <c r="E78" s="7" t="s">
        <v>186</v>
      </c>
      <c r="F78" s="7" t="s">
        <v>187</v>
      </c>
      <c r="G78" s="7" t="s">
        <v>188</v>
      </c>
      <c r="H78" s="7" t="s">
        <v>189</v>
      </c>
      <c r="I78" s="7" t="s">
        <v>190</v>
      </c>
      <c r="J78" s="7" t="s">
        <v>191</v>
      </c>
      <c r="K78" s="7" t="s">
        <v>192</v>
      </c>
      <c r="L78" s="7" t="s">
        <v>193</v>
      </c>
      <c r="M78" s="7" t="s">
        <v>194</v>
      </c>
      <c r="N78" s="7" t="s">
        <v>195</v>
      </c>
      <c r="O78" s="7" t="s">
        <v>196</v>
      </c>
    </row>
    <row r="79" spans="1:15" x14ac:dyDescent="0.2">
      <c r="C79" s="8" t="s">
        <v>1045</v>
      </c>
      <c r="D79" s="45">
        <f>Historical_Financials!E9-Historical_Financials!E7-Historical_Financials!E8</f>
        <v>0</v>
      </c>
      <c r="E79" s="45">
        <f>Historical_Financials!F9-Historical_Financials!F7-Historical_Financials!F8</f>
        <v>0</v>
      </c>
      <c r="F79" s="45">
        <f>Historical_Financials!G9-Historical_Financials!G7-Historical_Financials!G8</f>
        <v>0</v>
      </c>
      <c r="G79" s="45">
        <f>Historical_Financials!H9-Historical_Financials!H7-Historical_Financials!H8</f>
        <v>0</v>
      </c>
      <c r="H79" s="45">
        <f>Historical_Financials!I9-Historical_Financials!I7-Historical_Financials!I8</f>
        <v>0</v>
      </c>
      <c r="I79" s="45">
        <f>Historical_Financials!J9-Historical_Financials!J7-Historical_Financials!J8</f>
        <v>0</v>
      </c>
      <c r="J79" s="45">
        <f>Historical_Financials!K9-Historical_Financials!K7-Historical_Financials!K8</f>
        <v>0</v>
      </c>
      <c r="K79" s="45">
        <f>Historical_Financials!L9-Historical_Financials!L7-Historical_Financials!L8</f>
        <v>0</v>
      </c>
      <c r="L79" s="45">
        <f>Historical_Financials!M9-Historical_Financials!M7-Historical_Financials!M8</f>
        <v>0</v>
      </c>
      <c r="M79" s="45">
        <f>Historical_Financials!N9-Historical_Financials!N7-Historical_Financials!N8</f>
        <v>0</v>
      </c>
      <c r="N79" s="45">
        <f>Historical_Financials!O9-Historical_Financials!O7-Historical_Financials!O8</f>
        <v>0</v>
      </c>
      <c r="O79" s="45">
        <f>Historical_Financials!P9-Historical_Financials!P7-Historical_Financials!P8</f>
        <v>0</v>
      </c>
    </row>
    <row r="80" spans="1:15" x14ac:dyDescent="0.2">
      <c r="C80" s="8" t="s">
        <v>1046</v>
      </c>
      <c r="D80" s="45">
        <f>Historical_Financials!E11-Historical_Financials!E9+Historical_Financials!E10</f>
        <v>0</v>
      </c>
      <c r="E80" s="45">
        <f>Historical_Financials!F11-Historical_Financials!F9+Historical_Financials!F10</f>
        <v>0</v>
      </c>
      <c r="F80" s="45">
        <f>Historical_Financials!G11-Historical_Financials!G9+Historical_Financials!G10</f>
        <v>0</v>
      </c>
      <c r="G80" s="45">
        <f>Historical_Financials!H11-Historical_Financials!H9+Historical_Financials!H10</f>
        <v>0</v>
      </c>
      <c r="H80" s="45">
        <f>Historical_Financials!I11-Historical_Financials!I9+Historical_Financials!I10</f>
        <v>0</v>
      </c>
      <c r="I80" s="45">
        <f>Historical_Financials!J11-Historical_Financials!J9+Historical_Financials!J10</f>
        <v>0</v>
      </c>
      <c r="J80" s="45">
        <f>Historical_Financials!K11-Historical_Financials!K9+Historical_Financials!K10</f>
        <v>0</v>
      </c>
      <c r="K80" s="45">
        <f>Historical_Financials!L11-Historical_Financials!L9+Historical_Financials!L10</f>
        <v>0</v>
      </c>
      <c r="L80" s="45">
        <f>Historical_Financials!M11-Historical_Financials!M9+Historical_Financials!M10</f>
        <v>0</v>
      </c>
      <c r="M80" s="45">
        <f>Historical_Financials!N11-Historical_Financials!N9+Historical_Financials!N10</f>
        <v>0</v>
      </c>
      <c r="N80" s="45">
        <f>Historical_Financials!O11-Historical_Financials!O9+Historical_Financials!O10</f>
        <v>0</v>
      </c>
      <c r="O80" s="45">
        <f>Historical_Financials!P11-Historical_Financials!P9+Historical_Financials!P10</f>
        <v>0</v>
      </c>
    </row>
    <row r="81" spans="3:15" x14ac:dyDescent="0.2">
      <c r="C81" s="8" t="s">
        <v>1047</v>
      </c>
      <c r="D81" s="45">
        <f>Historical_Financials!E15-Historical_Financials!E11+Historical_Financials!E12+Historical_Financials!E13+Historical_Financials!E14</f>
        <v>0</v>
      </c>
      <c r="E81" s="45">
        <f>Historical_Financials!F15-Historical_Financials!F11+Historical_Financials!F12+Historical_Financials!F13+Historical_Financials!F14</f>
        <v>0</v>
      </c>
      <c r="F81" s="45">
        <f>Historical_Financials!G15-Historical_Financials!G11+Historical_Financials!G12+Historical_Financials!G13+Historical_Financials!G14</f>
        <v>0</v>
      </c>
      <c r="G81" s="45">
        <f>Historical_Financials!H15-Historical_Financials!H11+Historical_Financials!H12+Historical_Financials!H13+Historical_Financials!H14</f>
        <v>0</v>
      </c>
      <c r="H81" s="45">
        <f>Historical_Financials!I15-Historical_Financials!I11+Historical_Financials!I12+Historical_Financials!I13+Historical_Financials!I14</f>
        <v>0</v>
      </c>
      <c r="I81" s="45">
        <f>Historical_Financials!J15-Historical_Financials!J11+Historical_Financials!J12+Historical_Financials!J13+Historical_Financials!J14</f>
        <v>0</v>
      </c>
      <c r="J81" s="45">
        <f>Historical_Financials!K15-Historical_Financials!K11+Historical_Financials!K12+Historical_Financials!K13+Historical_Financials!K14</f>
        <v>0</v>
      </c>
      <c r="K81" s="45">
        <f>Historical_Financials!L15-Historical_Financials!L11+Historical_Financials!L12+Historical_Financials!L13+Historical_Financials!L14</f>
        <v>0</v>
      </c>
      <c r="L81" s="45">
        <f>Historical_Financials!M15-Historical_Financials!M11+Historical_Financials!M12+Historical_Financials!M13+Historical_Financials!M14</f>
        <v>0</v>
      </c>
      <c r="M81" s="45">
        <f>Historical_Financials!N15-Historical_Financials!N11+Historical_Financials!N12+Historical_Financials!N13+Historical_Financials!N14</f>
        <v>0</v>
      </c>
      <c r="N81" s="45">
        <f>Historical_Financials!O15-Historical_Financials!O11+Historical_Financials!O12+Historical_Financials!O13+Historical_Financials!O14</f>
        <v>0</v>
      </c>
      <c r="O81" s="45">
        <f>Historical_Financials!P15-Historical_Financials!P11+Historical_Financials!P12+Historical_Financials!P13+Historical_Financials!P14</f>
        <v>0</v>
      </c>
    </row>
    <row r="82" spans="3:15" x14ac:dyDescent="0.2">
      <c r="C82" s="8" t="s">
        <v>1048</v>
      </c>
      <c r="D82" s="45">
        <f>Historical_Financials!E17-Historical_Financials!E15-Historical_Financials!E16</f>
        <v>0</v>
      </c>
      <c r="E82" s="45">
        <f>Historical_Financials!F17-Historical_Financials!F15-Historical_Financials!F16</f>
        <v>0</v>
      </c>
      <c r="F82" s="45">
        <f>Historical_Financials!G17-Historical_Financials!G15-Historical_Financials!G16</f>
        <v>0</v>
      </c>
      <c r="G82" s="45">
        <f>Historical_Financials!H17-Historical_Financials!H15-Historical_Financials!H16</f>
        <v>0</v>
      </c>
      <c r="H82" s="45">
        <f>Historical_Financials!I17-Historical_Financials!I15-Historical_Financials!I16</f>
        <v>0</v>
      </c>
      <c r="I82" s="45">
        <f>Historical_Financials!J17-Historical_Financials!J15-Historical_Financials!J16</f>
        <v>0</v>
      </c>
      <c r="J82" s="45">
        <f>Historical_Financials!K17-Historical_Financials!K15-Historical_Financials!K16</f>
        <v>0</v>
      </c>
      <c r="K82" s="45">
        <f>Historical_Financials!L17-Historical_Financials!L15-Historical_Financials!L16</f>
        <v>0</v>
      </c>
      <c r="L82" s="45">
        <f>Historical_Financials!M17-Historical_Financials!M15-Historical_Financials!M16</f>
        <v>0</v>
      </c>
      <c r="M82" s="45">
        <f>Historical_Financials!N17-Historical_Financials!N15-Historical_Financials!N16</f>
        <v>0</v>
      </c>
      <c r="N82" s="45">
        <f>Historical_Financials!O17-Historical_Financials!O15-Historical_Financials!O16</f>
        <v>0</v>
      </c>
      <c r="O82" s="45">
        <f>Historical_Financials!P17-Historical_Financials!P15-Historical_Financials!P16</f>
        <v>0</v>
      </c>
    </row>
    <row r="83" spans="3:15" x14ac:dyDescent="0.2">
      <c r="C83" s="8" t="s">
        <v>1049</v>
      </c>
      <c r="D83" s="45">
        <f>Historical_Financials!E19-Historical_Financials!E17+Historical_Financials!E18</f>
        <v>0</v>
      </c>
      <c r="E83" s="45">
        <f>Historical_Financials!F19-Historical_Financials!F17+Historical_Financials!F18</f>
        <v>0</v>
      </c>
      <c r="F83" s="45">
        <f>Historical_Financials!G19-Historical_Financials!G17+Historical_Financials!G18</f>
        <v>0</v>
      </c>
      <c r="G83" s="45">
        <f>Historical_Financials!H19-Historical_Financials!H17+Historical_Financials!H18</f>
        <v>0</v>
      </c>
      <c r="H83" s="45">
        <f>Historical_Financials!I19-Historical_Financials!I17+Historical_Financials!I18</f>
        <v>0</v>
      </c>
      <c r="I83" s="45">
        <f>Historical_Financials!J19-Historical_Financials!J17+Historical_Financials!J18</f>
        <v>0</v>
      </c>
      <c r="J83" s="45">
        <f>Historical_Financials!K19-Historical_Financials!K17+Historical_Financials!K18</f>
        <v>0</v>
      </c>
      <c r="K83" s="45">
        <f>Historical_Financials!L19-Historical_Financials!L17+Historical_Financials!L18</f>
        <v>0</v>
      </c>
      <c r="L83" s="45">
        <f>Historical_Financials!M19-Historical_Financials!M17+Historical_Financials!M18</f>
        <v>0</v>
      </c>
      <c r="M83" s="45">
        <f>Historical_Financials!N19-Historical_Financials!N17+Historical_Financials!N18</f>
        <v>0</v>
      </c>
      <c r="N83" s="45">
        <f>Historical_Financials!O19-Historical_Financials!O17+Historical_Financials!O18</f>
        <v>0</v>
      </c>
      <c r="O83" s="45">
        <f>Historical_Financials!P19-Historical_Financials!P17+Historical_Financials!P18</f>
        <v>0</v>
      </c>
    </row>
    <row r="84" spans="3:15" x14ac:dyDescent="0.2">
      <c r="C84" s="8" t="s">
        <v>1050</v>
      </c>
      <c r="D84" s="45">
        <f>Historical_Financials!E27-Historical_Financials!E28</f>
        <v>0</v>
      </c>
      <c r="E84" s="45">
        <f>Historical_Financials!F27-Historical_Financials!F28</f>
        <v>0</v>
      </c>
      <c r="F84" s="45">
        <f>Historical_Financials!G27-Historical_Financials!G28</f>
        <v>0</v>
      </c>
      <c r="G84" s="45">
        <f>Historical_Financials!H27-Historical_Financials!H28</f>
        <v>0</v>
      </c>
      <c r="H84" s="45">
        <f>Historical_Financials!I27-Historical_Financials!I28</f>
        <v>0</v>
      </c>
      <c r="I84" s="45">
        <f>Historical_Financials!J27-Historical_Financials!J28</f>
        <v>0</v>
      </c>
      <c r="J84" s="45">
        <f>Historical_Financials!K27-Historical_Financials!K28</f>
        <v>0</v>
      </c>
      <c r="K84" s="45">
        <f>Historical_Financials!L27-Historical_Financials!L28</f>
        <v>0</v>
      </c>
      <c r="L84" s="45">
        <f>Historical_Financials!M27-Historical_Financials!M28</f>
        <v>0</v>
      </c>
      <c r="M84" s="45">
        <f>Historical_Financials!N27-Historical_Financials!N28</f>
        <v>0</v>
      </c>
      <c r="N84" s="45">
        <f>Historical_Financials!O27-Historical_Financials!O28</f>
        <v>0</v>
      </c>
      <c r="O84" s="45">
        <f>Historical_Financials!P27-Historical_Financials!P28</f>
        <v>0</v>
      </c>
    </row>
    <row r="85" spans="3:15" x14ac:dyDescent="0.2">
      <c r="C85" s="8" t="s">
        <v>1051</v>
      </c>
      <c r="D85" s="45">
        <f>Historical_Financials!E37+Historical_Financials!E41+Historical_Financials!E45-Historical_Financials!E9</f>
        <v>0</v>
      </c>
      <c r="E85" s="45">
        <f>Historical_Financials!F37+Historical_Financials!F41+Historical_Financials!F45-Historical_Financials!F9</f>
        <v>0</v>
      </c>
      <c r="F85" s="45">
        <f>Historical_Financials!G37+Historical_Financials!G41+Historical_Financials!G45-Historical_Financials!G9</f>
        <v>0</v>
      </c>
      <c r="G85" s="45">
        <f>Historical_Financials!H37+Historical_Financials!H41+Historical_Financials!H45-Historical_Financials!H9</f>
        <v>0</v>
      </c>
      <c r="H85" s="45">
        <f>Historical_Financials!I37+Historical_Financials!I41+Historical_Financials!I45-Historical_Financials!I9</f>
        <v>0</v>
      </c>
      <c r="I85" s="45">
        <f>Historical_Financials!J37+Historical_Financials!J41+Historical_Financials!J45-Historical_Financials!J9</f>
        <v>0</v>
      </c>
      <c r="J85" s="45">
        <f>Historical_Financials!K37+Historical_Financials!K41+Historical_Financials!K45-Historical_Financials!K9</f>
        <v>0</v>
      </c>
      <c r="K85" s="45">
        <f>Historical_Financials!L37+Historical_Financials!L41+Historical_Financials!L45-Historical_Financials!L9</f>
        <v>0</v>
      </c>
      <c r="L85" s="45">
        <f>Historical_Financials!M37+Historical_Financials!M41+Historical_Financials!M45-Historical_Financials!M9</f>
        <v>0</v>
      </c>
      <c r="M85" s="45">
        <f>Historical_Financials!N37+Historical_Financials!N41+Historical_Financials!N45-Historical_Financials!N9</f>
        <v>0</v>
      </c>
      <c r="N85" s="45">
        <f>Historical_Financials!O37+Historical_Financials!O41+Historical_Financials!O45-Historical_Financials!O9</f>
        <v>0</v>
      </c>
      <c r="O85" s="45">
        <f>Historical_Financials!P37+Historical_Financials!P41+Historical_Financials!P45-Historical_Financials!P9</f>
        <v>0</v>
      </c>
    </row>
    <row r="86" spans="3:15" x14ac:dyDescent="0.2">
      <c r="C86" s="8" t="s">
        <v>1052</v>
      </c>
      <c r="D86" s="45">
        <f>Historical_Financials!E40+Historical_Financials!E44+Historical_Financials!E48-Historical_Financials!E15</f>
        <v>0</v>
      </c>
      <c r="E86" s="45">
        <f>Historical_Financials!F40+Historical_Financials!F44+Historical_Financials!F48-Historical_Financials!F15</f>
        <v>0</v>
      </c>
      <c r="F86" s="45">
        <f>Historical_Financials!G40+Historical_Financials!G44+Historical_Financials!G48-Historical_Financials!G15</f>
        <v>0</v>
      </c>
      <c r="G86" s="45">
        <f>Historical_Financials!H40+Historical_Financials!H44+Historical_Financials!H48-Historical_Financials!H15</f>
        <v>0</v>
      </c>
      <c r="H86" s="45">
        <f>Historical_Financials!I40+Historical_Financials!I44+Historical_Financials!I48-Historical_Financials!I15</f>
        <v>0</v>
      </c>
      <c r="I86" s="45">
        <f>Historical_Financials!J40+Historical_Financials!J44+Historical_Financials!J48-Historical_Financials!J15</f>
        <v>0</v>
      </c>
      <c r="J86" s="45">
        <f>Historical_Financials!K40+Historical_Financials!K44+Historical_Financials!K48-Historical_Financials!K15</f>
        <v>0</v>
      </c>
      <c r="K86" s="45">
        <f>Historical_Financials!L40+Historical_Financials!L44+Historical_Financials!L48-Historical_Financials!L15</f>
        <v>0</v>
      </c>
      <c r="L86" s="45">
        <f>Historical_Financials!M40+Historical_Financials!M44+Historical_Financials!M48-Historical_Financials!M15</f>
        <v>0</v>
      </c>
      <c r="M86" s="45">
        <f>Historical_Financials!N40+Historical_Financials!N44+Historical_Financials!N48-Historical_Financials!N15</f>
        <v>0</v>
      </c>
      <c r="N86" s="45">
        <f>Historical_Financials!O40+Historical_Financials!O44+Historical_Financials!O48-Historical_Financials!O15</f>
        <v>0</v>
      </c>
      <c r="O86" s="45">
        <f>Historical_Financials!P40+Historical_Financials!P44+Historical_Financials!P48-Historical_Financials!P15</f>
        <v>0</v>
      </c>
    </row>
    <row r="87" spans="3:15" x14ac:dyDescent="0.2">
      <c r="C87" s="8" t="s">
        <v>1053</v>
      </c>
      <c r="D87" s="45">
        <f>Historical_Financials!E68-Historical_Financials!E9</f>
        <v>0</v>
      </c>
      <c r="E87" s="45">
        <f>Historical_Financials!F68-Historical_Financials!F9</f>
        <v>0</v>
      </c>
      <c r="F87" s="45">
        <f>Historical_Financials!G68-Historical_Financials!G9</f>
        <v>0</v>
      </c>
      <c r="G87" s="45">
        <f>Historical_Financials!H68-Historical_Financials!H9</f>
        <v>0</v>
      </c>
      <c r="H87" s="45">
        <f>Historical_Financials!I68-Historical_Financials!I9</f>
        <v>0</v>
      </c>
      <c r="I87" s="45">
        <f>Historical_Financials!J68-Historical_Financials!J9</f>
        <v>0</v>
      </c>
      <c r="J87" s="45">
        <f>Historical_Financials!K68-Historical_Financials!K9</f>
        <v>0</v>
      </c>
      <c r="K87" s="45">
        <f>Historical_Financials!L68-Historical_Financials!L9</f>
        <v>0</v>
      </c>
      <c r="L87" s="45">
        <f>Historical_Financials!M68-Historical_Financials!M9</f>
        <v>0</v>
      </c>
      <c r="M87" s="45">
        <f>Historical_Financials!N68-Historical_Financials!N9</f>
        <v>0</v>
      </c>
      <c r="N87" s="45">
        <f>Historical_Financials!O68-Historical_Financials!O9</f>
        <v>0</v>
      </c>
      <c r="O87" s="45">
        <f>Historical_Financials!P68-Historical_Financials!P9</f>
        <v>0</v>
      </c>
    </row>
  </sheetData>
  <conditionalFormatting sqref="H7:H64">
    <cfRule type="cellIs" dxfId="1" priority="1" operator="equal">
      <formula>"PASS"</formula>
    </cfRule>
    <cfRule type="cellIs" dxfId="0" priority="2" operator="equal">
      <formula>"FAIL"</formula>
    </cfRule>
  </conditionalFormatting>
  <pageMargins left="0.75" right="0.75" top="1" bottom="1" header="0.5" footer="0.5"/>
  <pageSetup fitToHeight="0" orientation="landscape"/>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Read_Me</vt:lpstr>
      <vt:lpstr>Sources</vt:lpstr>
      <vt:lpstr>Historical_Financials</vt:lpstr>
      <vt:lpstr>Segment_Analysis</vt:lpstr>
      <vt:lpstr>Assumptions</vt:lpstr>
      <vt:lpstr>Revenue_Forecast</vt:lpstr>
      <vt:lpstr>Operating_Forecast</vt:lpstr>
      <vt:lpstr>Capex_and_Depreciation</vt:lpstr>
      <vt:lpstr>Cash_Flow</vt:lpstr>
      <vt:lpstr>Scenarios</vt:lpstr>
      <vt:lpstr>Dashboard</vt:lpstr>
      <vt:lpstr>Checks</vt:lpstr>
      <vt:lpstr>Dashboard!Print_Area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Microsoft Financial Forecast and AI Investment Model</dc:title>
  <dc:creator>Kleivin Gjuzi</dc:creator>
  <cp:lastModifiedBy>Microsoft Office User</cp:lastModifiedBy>
  <dcterms:created xsi:type="dcterms:W3CDTF">2026-10-11T20:02:48Z</dcterms:created>
  <dcterms:modified xsi:type="dcterms:W3CDTF">2026-10-11T20:03:00Z</dcterms:modified>
</cp:coreProperties>
</file>